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europe.bmw.corp\WINFS\MZ-data\MZ-4\020_Auftraege_WSM\030_Auftraege_abgeschl\2020\TRW Systems_Peterlee_ Limited_2019_167_KAFAS4\040_Projektarbeit\Kosten\Eigene Bewertung\"/>
    </mc:Choice>
  </mc:AlternateContent>
  <bookViews>
    <workbookView xWindow="0" yWindow="0" windowWidth="20520" windowHeight="9705" tabRatio="818" activeTab="3"/>
  </bookViews>
  <sheets>
    <sheet name="Zusammenfassung" sheetId="2" r:id="rId1"/>
    <sheet name="Material" sheetId="6" r:id="rId2"/>
    <sheet name="Fertigungskosten" sheetId="18" r:id="rId3"/>
    <sheet name="MSS" sheetId="31" r:id="rId4"/>
    <sheet name="SBM-Vorrichtungen-FWZ" sheetId="8" r:id="rId5"/>
    <sheet name="Rohstoffrisiken" sheetId="25" r:id="rId6"/>
    <sheet name="Prämissenblatt" sheetId="17" state="veryHidden" r:id="rId7"/>
    <sheet name="Prämissenblatt_Rohstoff" sheetId="24" state="veryHidden" r:id="rId8"/>
    <sheet name="Protokoll" sheetId="26" r:id="rId9"/>
    <sheet name="Dokumentenlenkung" sheetId="30" r:id="rId10"/>
    <sheet name="Temp" sheetId="27" state="veryHidden" r:id="rId11"/>
  </sheets>
  <externalReferences>
    <externalReference r:id="rId12"/>
    <externalReference r:id="rId13"/>
    <externalReference r:id="rId14"/>
  </externalReferences>
  <definedNames>
    <definedName name="\B">'[1]MMS SGM ADS'!#REF!</definedName>
    <definedName name="_xlnm._FilterDatabase" localSheetId="7" hidden="1">Prämissenblatt_Rohstoff!$A$3:$E$83</definedName>
    <definedName name="_ND1">#REF!</definedName>
    <definedName name="Abwicklungsmodelle">Prämissenblatt_Rohstoff!$H$89:$H$92</definedName>
    <definedName name="bottomFertigungskosten" localSheetId="3">#REF!</definedName>
    <definedName name="bottomKaufteile" localSheetId="3">#REF!</definedName>
    <definedName name="bottomList" localSheetId="3">#REF!</definedName>
    <definedName name="bottomMaterials">Material!$D$39</definedName>
    <definedName name="bottomPInvest" localSheetId="3">#REF!</definedName>
    <definedName name="bottomProcesses">Fertigungskosten!$D$35</definedName>
    <definedName name="bottomRohmaterial" localSheetId="3">#REF!</definedName>
    <definedName name="bottomSBM" localSheetId="3">#REF!</definedName>
    <definedName name="bottomTools">'SBM-Vorrichtungen-FWZ'!$C$31</definedName>
    <definedName name="Currency_Unit">[2]Units!$A$2:$A$4</definedName>
    <definedName name="_xlnm.Database">#REF!</definedName>
    <definedName name="dbgran">[3]GRANDB98!$A$4:$AK$84</definedName>
    <definedName name="dbgran2">[3]GRANDB98!$A$4:$A$84</definedName>
    <definedName name="Distance_Unit">[2]Units!$A$7:$A$8</definedName>
    <definedName name="_xlnm.Print_Area" localSheetId="2">Fertigungskosten!$A$1:$X$40</definedName>
    <definedName name="_xlnm.Print_Area" localSheetId="1">Material!$A$1:$AC$44</definedName>
    <definedName name="_xlnm.Print_Area" localSheetId="3">MSS!$A$2:$V$42</definedName>
    <definedName name="_xlnm.Print_Area" localSheetId="6">Prämissenblatt!$O$6:$U$48</definedName>
    <definedName name="_xlnm.Print_Area" localSheetId="8">Protokoll!$A$1:$J$4</definedName>
    <definedName name="_xlnm.Print_Area" localSheetId="5">Rohstoffrisiken!$A$1:$V$35</definedName>
    <definedName name="_xlnm.Print_Area" localSheetId="4">'SBM-Vorrichtungen-FWZ'!$A$1:$V$36</definedName>
    <definedName name="_xlnm.Print_Area" localSheetId="0">Zusammenfassung!$A$1:$Q$42</definedName>
    <definedName name="EndZMaterials">ROW(bottomMaterials)-1</definedName>
    <definedName name="EndZProcesses">ROW(bottomProcesses)-1</definedName>
    <definedName name="EndZSBMInv">ROW(bottomSBMInvent)-1</definedName>
    <definedName name="EndZTools">ROW(bottomTools)-1</definedName>
    <definedName name="Ergänzungsschlüssel">Prämissenblatt_Rohstoff!$B$90:$B$102</definedName>
    <definedName name="Folgewerkzeug">Prämissenblatt!$O$8:$O$48</definedName>
    <definedName name="Kaufteil">Prämissenblatt!$W$8</definedName>
    <definedName name="list_Rohstoffschlüssel">Prämissenblatt_Rohstoff!$B$4:$D$83</definedName>
    <definedName name="listAngebotsWährungen">Zusammenfassung!$C$26:$C$28</definedName>
    <definedName name="listFlächeneinheit">Prämissenblatt!$AC$8:$AC$10</definedName>
    <definedName name="listLändernamen">Prämissenblatt!$K$8:$K$87</definedName>
    <definedName name="listMengeneinheiten">Prämissenblatt!$W$8:$W$28</definedName>
    <definedName name="listRohstoffschlüssel_Neu">Prämissenblatt_Rohstoff!$G$4:$G$74</definedName>
    <definedName name="listVerrechnungsformen">Prämissenblatt!$AA$8:$AA$11</definedName>
    <definedName name="listVorhanden">Prämissenblatt!$Y$8:$Y$9</definedName>
    <definedName name="listZulässigeAngebotswährungen">Prämissenblatt!$E$8:$E$40</definedName>
    <definedName name="listZulässigeBeschaffungswährungen">Prämissenblatt!$H$8:$H$63</definedName>
    <definedName name="Montage">#REF!</definedName>
    <definedName name="ND_X_">'[1]MMS SGM ADS'!#REF!</definedName>
    <definedName name="Packaging_Concept">[2]Units!$A$31:$A$32</definedName>
    <definedName name="Prämie">Prämissenblatt!$W$17</definedName>
    <definedName name="QAF_MAPPING_GEWINN_1">Zusammenfassung!$P$23</definedName>
    <definedName name="QAF_MAPPING_GEWINN_2">Zusammenfassung!$O$23</definedName>
    <definedName name="QAF_MAPPING_GEWINN_3">Zusammenfassung!$N$23</definedName>
    <definedName name="QAF_MAPPING_SBM_1">Zusammenfassung!$P$34</definedName>
    <definedName name="QAF_MAPPING_SBM_2">Zusammenfassung!$O$34</definedName>
    <definedName name="QAF_MAPPING_SBM_3">Zusammenfassung!$N$34</definedName>
    <definedName name="QAF_MAPPING_ZUSCHLAG_1">Zusammenfassung!#REF!</definedName>
    <definedName name="QAF_MAPPING_ZUSCHLAG_2">Zusammenfassung!#REF!</definedName>
    <definedName name="QAF_MAPPING_ZUSCHLAG_3">Zusammenfassung!#REF!</definedName>
    <definedName name="Richtwert">#REF!</definedName>
    <definedName name="Risiko">Prämissenblatt!$W$9</definedName>
    <definedName name="Rohstoff_Risiko">Prämissenblatt!$W$9</definedName>
    <definedName name="Rohstoffe_Materialblatt">Prämissenblatt_Rohstoff!$G$4:$I$74</definedName>
    <definedName name="SBM">Prämissenblatt!$O$8:$O$48</definedName>
    <definedName name="SBM_2">Prämissenblatt!$O$8:$P$48</definedName>
    <definedName name="SBMFeld">Prämissenblatt!$O$6</definedName>
    <definedName name="Stück_Risiko">Prämissenblatt!$W$9</definedName>
    <definedName name="Transport_Concept">[2]Units!$A$11:$A$15</definedName>
    <definedName name="Transport_Unit">[2]Units!$A$18:$A$28</definedName>
    <definedName name="Vorrichtung">Prämissenblatt!$S$8:$S$41</definedName>
    <definedName name="Vorrichtung_2">Prämissenblatt!$S$8:$T$41</definedName>
    <definedName name="VorrichtungFeld">Prämissenblatt!$S$6</definedName>
    <definedName name="Werkzeuginstandhaltung">Prämissenblatt!$AH$8</definedName>
    <definedName name="WerkzeugwartungFeld">Prämissenblatt!$AH$6</definedName>
  </definedNames>
  <calcPr calcId="152511"/>
  <pivotCaches>
    <pivotCache cacheId="2" r:id="rId15"/>
  </pivotCaches>
</workbook>
</file>

<file path=xl/calcChain.xml><?xml version="1.0" encoding="utf-8"?>
<calcChain xmlns="http://schemas.openxmlformats.org/spreadsheetml/2006/main">
  <c r="N13" i="18" l="1"/>
  <c r="K13" i="18" l="1"/>
  <c r="F20" i="18"/>
  <c r="M20" i="18"/>
  <c r="M19" i="18"/>
  <c r="M18" i="18"/>
  <c r="L31" i="31" l="1"/>
  <c r="L29" i="31"/>
  <c r="L27" i="31"/>
  <c r="L25" i="31"/>
  <c r="L23" i="31"/>
  <c r="N29" i="31"/>
  <c r="N25" i="31"/>
  <c r="G13" i="31"/>
  <c r="J23" i="31"/>
  <c r="I13" i="6"/>
  <c r="U39" i="18"/>
  <c r="H14" i="18"/>
  <c r="H15" i="18"/>
  <c r="H13" i="18"/>
  <c r="S37" i="31"/>
  <c r="S35" i="31"/>
  <c r="S33" i="31"/>
  <c r="S31" i="31"/>
  <c r="L37" i="31"/>
  <c r="L35" i="31"/>
  <c r="L33" i="31"/>
  <c r="J31" i="31"/>
  <c r="J29" i="31"/>
  <c r="J27" i="31"/>
  <c r="J25" i="31"/>
  <c r="F14" i="18" l="1"/>
  <c r="F15" i="18" s="1"/>
  <c r="F16" i="18" s="1"/>
  <c r="F17" i="18" s="1"/>
  <c r="F18" i="18" s="1"/>
  <c r="F19" i="18" s="1"/>
  <c r="S29" i="31" l="1"/>
  <c r="S27" i="31"/>
  <c r="S25" i="31"/>
  <c r="P14" i="18" l="1"/>
  <c r="N14" i="18" s="1"/>
  <c r="K14" i="18"/>
  <c r="P15" i="18" l="1"/>
  <c r="N15" i="18" s="1"/>
  <c r="K15" i="18"/>
  <c r="K16" i="18" s="1"/>
  <c r="K17" i="18" s="1"/>
  <c r="K18" i="18" s="1"/>
  <c r="J40" i="31"/>
  <c r="V39" i="31"/>
  <c r="T39" i="31"/>
  <c r="N39" i="31"/>
  <c r="N40" i="31" s="1"/>
  <c r="I39" i="31"/>
  <c r="I40" i="31" s="1"/>
  <c r="H39" i="31"/>
  <c r="H40" i="31" s="1"/>
  <c r="G39" i="31"/>
  <c r="E39" i="31"/>
  <c r="T37" i="31"/>
  <c r="N37" i="31"/>
  <c r="I37" i="31"/>
  <c r="H37" i="31"/>
  <c r="H38" i="31" s="1"/>
  <c r="G37" i="31"/>
  <c r="E37" i="31"/>
  <c r="T35" i="31"/>
  <c r="N35" i="31"/>
  <c r="I35" i="31"/>
  <c r="H35" i="31"/>
  <c r="G35" i="31"/>
  <c r="E35" i="31"/>
  <c r="T33" i="31"/>
  <c r="N33" i="31"/>
  <c r="I33" i="31"/>
  <c r="H33" i="31"/>
  <c r="G33" i="31"/>
  <c r="E33" i="31"/>
  <c r="T31" i="31"/>
  <c r="E31" i="31"/>
  <c r="I31" i="31"/>
  <c r="T29" i="31"/>
  <c r="I29" i="31"/>
  <c r="H29" i="31"/>
  <c r="G29" i="31"/>
  <c r="E29" i="31"/>
  <c r="V27" i="31"/>
  <c r="J28" i="31" s="1"/>
  <c r="T27" i="31"/>
  <c r="N27" i="31"/>
  <c r="I27" i="31"/>
  <c r="H27" i="31"/>
  <c r="G27" i="31"/>
  <c r="T25" i="31"/>
  <c r="V25" i="31"/>
  <c r="J26" i="31" s="1"/>
  <c r="I25" i="31"/>
  <c r="H25" i="31"/>
  <c r="G25" i="31"/>
  <c r="E25" i="31"/>
  <c r="T23" i="31"/>
  <c r="N23" i="31"/>
  <c r="I23" i="31"/>
  <c r="H23" i="31"/>
  <c r="G23" i="31"/>
  <c r="E23" i="31"/>
  <c r="V37" i="31"/>
  <c r="J38" i="31" s="1"/>
  <c r="K39" i="31" l="1"/>
  <c r="E27" i="31"/>
  <c r="K19" i="18"/>
  <c r="K20" i="18" s="1"/>
  <c r="P16" i="18"/>
  <c r="I38" i="31"/>
  <c r="G38" i="31"/>
  <c r="L38" i="31"/>
  <c r="N38" i="31"/>
  <c r="K37" i="31"/>
  <c r="U37" i="31" s="1"/>
  <c r="L39" i="31"/>
  <c r="L40" i="31" s="1"/>
  <c r="K29" i="31"/>
  <c r="K25" i="31"/>
  <c r="U25" i="31" s="1"/>
  <c r="H26" i="31"/>
  <c r="L28" i="31"/>
  <c r="H28" i="31"/>
  <c r="L26" i="31"/>
  <c r="I28" i="31"/>
  <c r="I26" i="31"/>
  <c r="N28" i="31"/>
  <c r="N26" i="31"/>
  <c r="K27" i="31"/>
  <c r="G28" i="31"/>
  <c r="U39" i="31"/>
  <c r="X39" i="31" s="1"/>
  <c r="K40" i="31"/>
  <c r="K38" i="31"/>
  <c r="K23" i="31"/>
  <c r="V23" i="31"/>
  <c r="L24" i="31" s="1"/>
  <c r="G26" i="31"/>
  <c r="G31" i="31"/>
  <c r="G40" i="31"/>
  <c r="H31" i="31"/>
  <c r="N31" i="31"/>
  <c r="V31" i="31"/>
  <c r="J32" i="31" s="1"/>
  <c r="K33" i="31"/>
  <c r="V33" i="31"/>
  <c r="N34" i="31" s="1"/>
  <c r="K35" i="31"/>
  <c r="V35" i="31"/>
  <c r="G36" i="31" s="1"/>
  <c r="V29" i="31"/>
  <c r="G30" i="31" s="1"/>
  <c r="AD14" i="6"/>
  <c r="AE14" i="6"/>
  <c r="AF14" i="6"/>
  <c r="AG14" i="6"/>
  <c r="AD15" i="6"/>
  <c r="AE15" i="6"/>
  <c r="AF15" i="6"/>
  <c r="AG15" i="6"/>
  <c r="AD16" i="6"/>
  <c r="AE16" i="6"/>
  <c r="AF16" i="6"/>
  <c r="AG16" i="6"/>
  <c r="AD17" i="6"/>
  <c r="AE17" i="6"/>
  <c r="AF17" i="6"/>
  <c r="AG17" i="6"/>
  <c r="AD18" i="6"/>
  <c r="AE18" i="6"/>
  <c r="AF18" i="6"/>
  <c r="AG18" i="6"/>
  <c r="AD19" i="6"/>
  <c r="AE19" i="6"/>
  <c r="AF19" i="6"/>
  <c r="AG19" i="6"/>
  <c r="AD20" i="6"/>
  <c r="AE20" i="6"/>
  <c r="AF20" i="6"/>
  <c r="AG20" i="6"/>
  <c r="AD21" i="6"/>
  <c r="AE21" i="6"/>
  <c r="AF21" i="6"/>
  <c r="AG21" i="6"/>
  <c r="AD22" i="6"/>
  <c r="AE22" i="6"/>
  <c r="AF22" i="6"/>
  <c r="AG22" i="6"/>
  <c r="AD23" i="6"/>
  <c r="AE23" i="6"/>
  <c r="AF23" i="6"/>
  <c r="AG23" i="6"/>
  <c r="AD24" i="6"/>
  <c r="AE24" i="6"/>
  <c r="AF24" i="6"/>
  <c r="AG24" i="6"/>
  <c r="AD25" i="6"/>
  <c r="AE25" i="6"/>
  <c r="AF25" i="6"/>
  <c r="AG25" i="6"/>
  <c r="AD26" i="6"/>
  <c r="AE26" i="6"/>
  <c r="AF26" i="6"/>
  <c r="AG26" i="6"/>
  <c r="AD27" i="6"/>
  <c r="AE27" i="6"/>
  <c r="AF27" i="6"/>
  <c r="AG27" i="6"/>
  <c r="AD28" i="6"/>
  <c r="AE28" i="6"/>
  <c r="AF28" i="6"/>
  <c r="AG28" i="6"/>
  <c r="AD29" i="6"/>
  <c r="AE29" i="6"/>
  <c r="AF29" i="6"/>
  <c r="AG29" i="6"/>
  <c r="AD30" i="6"/>
  <c r="AE30" i="6"/>
  <c r="AF30" i="6"/>
  <c r="AG30" i="6"/>
  <c r="AD31" i="6"/>
  <c r="AE31" i="6"/>
  <c r="AF31" i="6"/>
  <c r="AG31" i="6"/>
  <c r="AD32" i="6"/>
  <c r="AE32" i="6"/>
  <c r="AF32" i="6"/>
  <c r="AG32" i="6"/>
  <c r="AD33" i="6"/>
  <c r="AE33" i="6"/>
  <c r="AF33" i="6"/>
  <c r="AG33" i="6"/>
  <c r="AD34" i="6"/>
  <c r="AE34" i="6"/>
  <c r="AF34" i="6"/>
  <c r="AG34" i="6"/>
  <c r="AD35" i="6"/>
  <c r="AE35" i="6"/>
  <c r="AF35" i="6"/>
  <c r="AG35" i="6"/>
  <c r="AD36" i="6"/>
  <c r="AE36" i="6"/>
  <c r="AF36" i="6"/>
  <c r="AG36" i="6"/>
  <c r="AD37" i="6"/>
  <c r="AE37" i="6"/>
  <c r="AF37" i="6"/>
  <c r="AG37" i="6"/>
  <c r="AD38" i="6"/>
  <c r="AE38" i="6"/>
  <c r="AF38" i="6"/>
  <c r="AG38" i="6"/>
  <c r="AG13" i="6"/>
  <c r="AE13" i="6"/>
  <c r="AD13" i="6"/>
  <c r="N36" i="31" l="1"/>
  <c r="X37" i="31"/>
  <c r="AA37" i="31"/>
  <c r="AA27" i="31"/>
  <c r="AA25" i="31"/>
  <c r="P17" i="18"/>
  <c r="L36" i="31"/>
  <c r="J36" i="31"/>
  <c r="I36" i="31"/>
  <c r="H36" i="31"/>
  <c r="AA35" i="31" s="1"/>
  <c r="G34" i="31"/>
  <c r="J34" i="31"/>
  <c r="L34" i="31"/>
  <c r="I34" i="31"/>
  <c r="H34" i="31"/>
  <c r="K26" i="31"/>
  <c r="X25" i="31"/>
  <c r="M14" i="18" s="1"/>
  <c r="N32" i="31"/>
  <c r="H32" i="31"/>
  <c r="I32" i="31"/>
  <c r="U29" i="31"/>
  <c r="K36" i="31"/>
  <c r="U35" i="31"/>
  <c r="X35" i="31" s="1"/>
  <c r="U27" i="31"/>
  <c r="K28" i="31"/>
  <c r="J30" i="31"/>
  <c r="K34" i="31"/>
  <c r="U33" i="31"/>
  <c r="X33" i="31" s="1"/>
  <c r="N24" i="31"/>
  <c r="I24" i="31"/>
  <c r="N30" i="31"/>
  <c r="H24" i="31"/>
  <c r="L30" i="31"/>
  <c r="G24" i="31"/>
  <c r="J24" i="31"/>
  <c r="G32" i="31"/>
  <c r="K31" i="31"/>
  <c r="L32" i="31"/>
  <c r="U23" i="31"/>
  <c r="K24" i="31"/>
  <c r="H30" i="31"/>
  <c r="K30" i="31"/>
  <c r="I30" i="31"/>
  <c r="AF13" i="6"/>
  <c r="AA29" i="31" l="1"/>
  <c r="AA33" i="31"/>
  <c r="AA31" i="31"/>
  <c r="AA23" i="31"/>
  <c r="P18" i="18"/>
  <c r="X29" i="31"/>
  <c r="M16" i="18" s="1"/>
  <c r="X27" i="31"/>
  <c r="M15" i="18" s="1"/>
  <c r="X23" i="31"/>
  <c r="M13" i="18" s="1"/>
  <c r="K32" i="31"/>
  <c r="U31" i="31"/>
  <c r="X31" i="31" s="1"/>
  <c r="M17" i="18" s="1"/>
  <c r="D8" i="18"/>
  <c r="D7" i="18"/>
  <c r="I7" i="18"/>
  <c r="I5" i="18"/>
  <c r="I6" i="18"/>
  <c r="R8" i="18"/>
  <c r="R7" i="18"/>
  <c r="N18" i="18" l="1"/>
  <c r="N16" i="18"/>
  <c r="AA16" i="18" s="1"/>
  <c r="AA13" i="18"/>
  <c r="AA15" i="18"/>
  <c r="P19" i="18"/>
  <c r="AA17" i="18"/>
  <c r="Y13" i="18"/>
  <c r="AC13" i="18"/>
  <c r="Y14" i="18"/>
  <c r="Z14" i="18"/>
  <c r="AA14" i="18"/>
  <c r="AC14" i="18"/>
  <c r="Y15" i="18"/>
  <c r="AC15" i="18"/>
  <c r="Y16" i="18"/>
  <c r="AC16" i="18"/>
  <c r="Y17" i="18"/>
  <c r="AC17" i="18"/>
  <c r="Q13" i="18" l="1"/>
  <c r="U13" i="18" s="1"/>
  <c r="W13" i="18" s="1"/>
  <c r="Z13" i="18"/>
  <c r="Z16" i="18"/>
  <c r="Z15" i="18"/>
  <c r="N19" i="18"/>
  <c r="P20" i="18"/>
  <c r="Z17" i="18"/>
  <c r="Q14" i="18"/>
  <c r="U14" i="18" s="1"/>
  <c r="W14" i="18" s="1"/>
  <c r="Q15" i="18"/>
  <c r="U15" i="18" s="1"/>
  <c r="W15" i="18" s="1"/>
  <c r="Q16" i="18"/>
  <c r="U16" i="18" s="1"/>
  <c r="W16" i="18" s="1"/>
  <c r="Q17" i="18"/>
  <c r="U17" i="18" s="1"/>
  <c r="W17" i="18" s="1"/>
  <c r="Q18" i="18"/>
  <c r="U18" i="18" s="1"/>
  <c r="W18" i="18" s="1"/>
  <c r="O13" i="18"/>
  <c r="AB13" i="18" s="1"/>
  <c r="O14" i="18"/>
  <c r="AB14" i="18" s="1"/>
  <c r="O15" i="18"/>
  <c r="AB15" i="18" s="1"/>
  <c r="O16" i="18"/>
  <c r="AB16" i="18" s="1"/>
  <c r="O17" i="18"/>
  <c r="AB17" i="18" s="1"/>
  <c r="O18" i="18"/>
  <c r="P13" i="6"/>
  <c r="U13" i="6" s="1"/>
  <c r="W13" i="6" s="1"/>
  <c r="P14" i="6"/>
  <c r="U14" i="6" s="1"/>
  <c r="W14" i="6" s="1"/>
  <c r="P15" i="6"/>
  <c r="U15" i="6" s="1"/>
  <c r="W15" i="6" s="1"/>
  <c r="P16" i="6"/>
  <c r="U16" i="6" s="1"/>
  <c r="W16" i="6" s="1"/>
  <c r="N20" i="18" l="1"/>
  <c r="B4" i="25"/>
  <c r="B4" i="8"/>
  <c r="B4" i="18"/>
  <c r="B4" i="6"/>
  <c r="AC13" i="6" l="1"/>
  <c r="AB13" i="6" s="1"/>
  <c r="AC14" i="6" l="1"/>
  <c r="AB14" i="6" s="1"/>
  <c r="AC15" i="6"/>
  <c r="AB15" i="6" s="1"/>
  <c r="AC16" i="6"/>
  <c r="AB16" i="6" s="1"/>
  <c r="AC17" i="6"/>
  <c r="AB17" i="6" s="1"/>
  <c r="AC18" i="6"/>
  <c r="AB18" i="6" s="1"/>
  <c r="AC19" i="6"/>
  <c r="AB19" i="6" s="1"/>
  <c r="AC20" i="6"/>
  <c r="AB20" i="6" s="1"/>
  <c r="AC21" i="6"/>
  <c r="AB21" i="6" s="1"/>
  <c r="AC22" i="6"/>
  <c r="AB22" i="6" s="1"/>
  <c r="AC23" i="6"/>
  <c r="AB23" i="6" s="1"/>
  <c r="AC24" i="6"/>
  <c r="AB24" i="6" s="1"/>
  <c r="AC25" i="6"/>
  <c r="AB25" i="6" s="1"/>
  <c r="AC26" i="6"/>
  <c r="AB26" i="6" s="1"/>
  <c r="AC27" i="6"/>
  <c r="AB27" i="6" s="1"/>
  <c r="AC28" i="6"/>
  <c r="AB28" i="6" s="1"/>
  <c r="AC29" i="6"/>
  <c r="AB29" i="6" s="1"/>
  <c r="AC30" i="6"/>
  <c r="AB30" i="6" s="1"/>
  <c r="AC31" i="6"/>
  <c r="AB31" i="6" s="1"/>
  <c r="AC32" i="6"/>
  <c r="AB32" i="6" s="1"/>
  <c r="AC33" i="6"/>
  <c r="AB33" i="6" s="1"/>
  <c r="AC34" i="6"/>
  <c r="AB34" i="6" s="1"/>
  <c r="AC35" i="6"/>
  <c r="AB35" i="6" s="1"/>
  <c r="AC36" i="6"/>
  <c r="AB36" i="6" s="1"/>
  <c r="AC37" i="6"/>
  <c r="AB37" i="6" s="1"/>
  <c r="AC38" i="6"/>
  <c r="AB38" i="6" s="1"/>
  <c r="P17" i="6"/>
  <c r="U17" i="6" s="1"/>
  <c r="W17" i="6" s="1"/>
  <c r="P18" i="6"/>
  <c r="U18" i="6" s="1"/>
  <c r="W18" i="6" s="1"/>
  <c r="P19" i="6"/>
  <c r="U19" i="6" s="1"/>
  <c r="W19" i="6" s="1"/>
  <c r="P20" i="6"/>
  <c r="U20" i="6" s="1"/>
  <c r="W20" i="6" s="1"/>
  <c r="P21" i="6"/>
  <c r="U21" i="6" s="1"/>
  <c r="W21" i="6" s="1"/>
  <c r="P22" i="6"/>
  <c r="U22" i="6" s="1"/>
  <c r="W22" i="6" s="1"/>
  <c r="P23" i="6"/>
  <c r="U23" i="6" s="1"/>
  <c r="W23" i="6" s="1"/>
  <c r="P24" i="6"/>
  <c r="U24" i="6" s="1"/>
  <c r="W24" i="6" s="1"/>
  <c r="P25" i="6"/>
  <c r="U25" i="6" s="1"/>
  <c r="W25" i="6" s="1"/>
  <c r="P26" i="6"/>
  <c r="U26" i="6" s="1"/>
  <c r="W26" i="6" s="1"/>
  <c r="P27" i="6"/>
  <c r="U27" i="6" s="1"/>
  <c r="W27" i="6" s="1"/>
  <c r="P28" i="6"/>
  <c r="U28" i="6" s="1"/>
  <c r="W28" i="6" s="1"/>
  <c r="P29" i="6"/>
  <c r="U29" i="6" s="1"/>
  <c r="W29" i="6" s="1"/>
  <c r="P30" i="6"/>
  <c r="U30" i="6" s="1"/>
  <c r="W30" i="6" s="1"/>
  <c r="P31" i="6"/>
  <c r="U31" i="6" s="1"/>
  <c r="W31" i="6" s="1"/>
  <c r="P32" i="6"/>
  <c r="U32" i="6" s="1"/>
  <c r="W32" i="6" s="1"/>
  <c r="P33" i="6"/>
  <c r="U33" i="6" s="1"/>
  <c r="W33" i="6" s="1"/>
  <c r="P34" i="6"/>
  <c r="U34" i="6" s="1"/>
  <c r="W34" i="6" s="1"/>
  <c r="P35" i="6"/>
  <c r="U35" i="6" s="1"/>
  <c r="W35" i="6" s="1"/>
  <c r="P36" i="6"/>
  <c r="U36" i="6" s="1"/>
  <c r="W36" i="6" s="1"/>
  <c r="P37" i="6"/>
  <c r="U37" i="6" s="1"/>
  <c r="W37" i="6" s="1"/>
  <c r="P38" i="6"/>
  <c r="U38" i="6" s="1"/>
  <c r="W38" i="6" s="1"/>
  <c r="AC12" i="6"/>
  <c r="AB12" i="6" s="1"/>
  <c r="P12" i="6"/>
  <c r="D7" i="6" l="1"/>
  <c r="U12" i="6" l="1"/>
  <c r="W12" i="6" s="1"/>
  <c r="M31" i="25" l="1"/>
  <c r="G31" i="25"/>
  <c r="E31" i="25"/>
  <c r="M30" i="25"/>
  <c r="G30" i="25"/>
  <c r="E30" i="25"/>
  <c r="M29" i="25"/>
  <c r="G29" i="25"/>
  <c r="E29" i="25"/>
  <c r="M28" i="25"/>
  <c r="G28" i="25"/>
  <c r="E28" i="25"/>
  <c r="M27" i="25"/>
  <c r="G27" i="25"/>
  <c r="E27" i="25"/>
  <c r="M26" i="25"/>
  <c r="G26" i="25"/>
  <c r="E26" i="25"/>
  <c r="M25" i="25"/>
  <c r="G25" i="25"/>
  <c r="E25" i="25"/>
  <c r="M21" i="25"/>
  <c r="E21" i="25"/>
  <c r="M20" i="25"/>
  <c r="G20" i="25"/>
  <c r="E20" i="25"/>
  <c r="M19" i="25"/>
  <c r="G19" i="25"/>
  <c r="E19" i="25"/>
  <c r="M18" i="25"/>
  <c r="G18" i="25"/>
  <c r="E18" i="25"/>
  <c r="M17" i="25"/>
  <c r="G17" i="25"/>
  <c r="E17" i="25"/>
  <c r="M16" i="25"/>
  <c r="G16" i="25"/>
  <c r="E16" i="25"/>
  <c r="M15" i="25"/>
  <c r="G15" i="25"/>
  <c r="E15" i="25"/>
  <c r="R8" i="25"/>
  <c r="J8" i="25"/>
  <c r="D8" i="25"/>
  <c r="R7" i="25"/>
  <c r="J7" i="25"/>
  <c r="D7" i="25"/>
  <c r="R6" i="25"/>
  <c r="J6" i="25"/>
  <c r="D6" i="25"/>
  <c r="R5" i="25"/>
  <c r="J5" i="25"/>
  <c r="D5" i="25"/>
  <c r="S35" i="8"/>
  <c r="S34" i="8"/>
  <c r="S33" i="8"/>
  <c r="X30" i="8"/>
  <c r="W30" i="8"/>
  <c r="T30" i="8"/>
  <c r="S30" i="8"/>
  <c r="X29" i="8"/>
  <c r="W29" i="8"/>
  <c r="T29" i="8"/>
  <c r="S29" i="8"/>
  <c r="X28" i="8"/>
  <c r="W28" i="8"/>
  <c r="T28" i="8"/>
  <c r="S28" i="8"/>
  <c r="X27" i="8"/>
  <c r="W27" i="8"/>
  <c r="T27" i="8"/>
  <c r="S27" i="8"/>
  <c r="X26" i="8"/>
  <c r="W26" i="8"/>
  <c r="T26" i="8"/>
  <c r="S26" i="8"/>
  <c r="X25" i="8"/>
  <c r="W25" i="8"/>
  <c r="T25" i="8"/>
  <c r="S25" i="8"/>
  <c r="X24" i="8"/>
  <c r="W24" i="8"/>
  <c r="T24" i="8"/>
  <c r="S24" i="8"/>
  <c r="X23" i="8"/>
  <c r="W23" i="8"/>
  <c r="T23" i="8"/>
  <c r="S23" i="8"/>
  <c r="X22" i="8"/>
  <c r="W22" i="8"/>
  <c r="T22" i="8"/>
  <c r="S22" i="8"/>
  <c r="X21" i="8"/>
  <c r="W21" i="8"/>
  <c r="T21" i="8"/>
  <c r="S21" i="8"/>
  <c r="X20" i="8"/>
  <c r="W20" i="8"/>
  <c r="T20" i="8"/>
  <c r="S20" i="8"/>
  <c r="X19" i="8"/>
  <c r="W19" i="8"/>
  <c r="T19" i="8"/>
  <c r="S19" i="8"/>
  <c r="X18" i="8"/>
  <c r="W18" i="8"/>
  <c r="T18" i="8"/>
  <c r="S18" i="8"/>
  <c r="X17" i="8"/>
  <c r="W17" i="8"/>
  <c r="S17" i="8"/>
  <c r="T17" i="8" s="1"/>
  <c r="X16" i="8"/>
  <c r="W16" i="8"/>
  <c r="T16" i="8"/>
  <c r="S16" i="8"/>
  <c r="X15" i="8"/>
  <c r="W15" i="8"/>
  <c r="S15" i="8"/>
  <c r="T15" i="8" s="1"/>
  <c r="X14" i="8"/>
  <c r="W14" i="8"/>
  <c r="T14" i="8"/>
  <c r="S14" i="8"/>
  <c r="X13" i="8"/>
  <c r="W13" i="8"/>
  <c r="S13" i="8"/>
  <c r="T13" i="8" s="1"/>
  <c r="X12" i="8"/>
  <c r="W12" i="8"/>
  <c r="T12" i="8"/>
  <c r="S12" i="8"/>
  <c r="R8" i="8"/>
  <c r="J8" i="8"/>
  <c r="E8" i="8"/>
  <c r="R7" i="8"/>
  <c r="J7" i="8"/>
  <c r="E7" i="8"/>
  <c r="R6" i="8"/>
  <c r="J6" i="8"/>
  <c r="E6" i="8"/>
  <c r="R5" i="8"/>
  <c r="J5" i="8"/>
  <c r="E5" i="8"/>
  <c r="K39" i="18"/>
  <c r="K38" i="18"/>
  <c r="K37" i="18"/>
  <c r="AC34" i="18"/>
  <c r="AA34" i="18"/>
  <c r="Z34" i="18"/>
  <c r="Y34" i="18"/>
  <c r="Q34" i="18"/>
  <c r="U34" i="18" s="1"/>
  <c r="W34" i="18" s="1"/>
  <c r="AC33" i="18"/>
  <c r="AA33" i="18"/>
  <c r="Z33" i="18"/>
  <c r="Y33" i="18"/>
  <c r="Q33" i="18"/>
  <c r="U33" i="18" s="1"/>
  <c r="W33" i="18" s="1"/>
  <c r="O33" i="18"/>
  <c r="AB33" i="18" s="1"/>
  <c r="AC32" i="18"/>
  <c r="AA32" i="18"/>
  <c r="Z32" i="18"/>
  <c r="Y32" i="18"/>
  <c r="Q32" i="18"/>
  <c r="U32" i="18" s="1"/>
  <c r="W32" i="18" s="1"/>
  <c r="O32" i="18"/>
  <c r="AB32" i="18" s="1"/>
  <c r="AC31" i="18"/>
  <c r="AA31" i="18"/>
  <c r="Z31" i="18"/>
  <c r="Y31" i="18"/>
  <c r="Q31" i="18"/>
  <c r="U31" i="18" s="1"/>
  <c r="W31" i="18" s="1"/>
  <c r="O31" i="18"/>
  <c r="AB31" i="18" s="1"/>
  <c r="AC30" i="18"/>
  <c r="AA30" i="18"/>
  <c r="Z30" i="18"/>
  <c r="Y30" i="18"/>
  <c r="Q30" i="18"/>
  <c r="U30" i="18" s="1"/>
  <c r="W30" i="18" s="1"/>
  <c r="O30" i="18"/>
  <c r="AB30" i="18" s="1"/>
  <c r="AC29" i="18"/>
  <c r="AA29" i="18"/>
  <c r="Z29" i="18"/>
  <c r="Y29" i="18"/>
  <c r="Q29" i="18"/>
  <c r="U29" i="18" s="1"/>
  <c r="W29" i="18" s="1"/>
  <c r="O29" i="18"/>
  <c r="AB29" i="18" s="1"/>
  <c r="Z28" i="18"/>
  <c r="Y28" i="18"/>
  <c r="AC27" i="18"/>
  <c r="Z27" i="18"/>
  <c r="Y27" i="18"/>
  <c r="AC26" i="18"/>
  <c r="AA26" i="18"/>
  <c r="Z26" i="18"/>
  <c r="Y26" i="18"/>
  <c r="Q26" i="18"/>
  <c r="W26" i="18" s="1"/>
  <c r="O26" i="18"/>
  <c r="AB26" i="18" s="1"/>
  <c r="AC25" i="18"/>
  <c r="AA25" i="18"/>
  <c r="Z25" i="18"/>
  <c r="Y25" i="18"/>
  <c r="Q25" i="18"/>
  <c r="W25" i="18" s="1"/>
  <c r="O25" i="18"/>
  <c r="AB25" i="18" s="1"/>
  <c r="AC24" i="18"/>
  <c r="AA24" i="18"/>
  <c r="Z24" i="18"/>
  <c r="Y24" i="18"/>
  <c r="Q24" i="18"/>
  <c r="W24" i="18" s="1"/>
  <c r="O24" i="18"/>
  <c r="AB24" i="18" s="1"/>
  <c r="AC23" i="18"/>
  <c r="AA23" i="18"/>
  <c r="Z23" i="18"/>
  <c r="Y23" i="18"/>
  <c r="Q23" i="18"/>
  <c r="W23" i="18" s="1"/>
  <c r="O23" i="18"/>
  <c r="AB23" i="18" s="1"/>
  <c r="AC22" i="18"/>
  <c r="AA22" i="18"/>
  <c r="Z22" i="18"/>
  <c r="Y22" i="18"/>
  <c r="W22" i="18"/>
  <c r="AB22" i="18"/>
  <c r="AC21" i="18"/>
  <c r="AA21" i="18"/>
  <c r="Z21" i="18"/>
  <c r="Y21" i="18"/>
  <c r="Q21" i="18"/>
  <c r="W21" i="18" s="1"/>
  <c r="O21" i="18"/>
  <c r="AC20" i="18"/>
  <c r="AA20" i="18"/>
  <c r="Z20" i="18"/>
  <c r="Y20" i="18"/>
  <c r="Q20" i="18"/>
  <c r="U20" i="18" s="1"/>
  <c r="W20" i="18" s="1"/>
  <c r="O20" i="18"/>
  <c r="AB20" i="18" s="1"/>
  <c r="AC19" i="18"/>
  <c r="AA19" i="18"/>
  <c r="Z19" i="18"/>
  <c r="Y19" i="18"/>
  <c r="Q19" i="18"/>
  <c r="U19" i="18" s="1"/>
  <c r="W19" i="18" s="1"/>
  <c r="O19" i="18"/>
  <c r="AB19" i="18" s="1"/>
  <c r="AC18" i="18"/>
  <c r="AB18" i="18"/>
  <c r="AA18" i="18"/>
  <c r="Z18" i="18"/>
  <c r="Y18" i="18"/>
  <c r="AC12" i="18"/>
  <c r="AB12" i="18"/>
  <c r="AA12" i="18"/>
  <c r="Z12" i="18"/>
  <c r="Y12" i="18"/>
  <c r="Q12" i="18"/>
  <c r="U12" i="18" s="1"/>
  <c r="W12" i="18" s="1"/>
  <c r="O12" i="18"/>
  <c r="I8" i="18"/>
  <c r="R6" i="18"/>
  <c r="D6" i="18"/>
  <c r="R5" i="18"/>
  <c r="D5" i="18"/>
  <c r="K43" i="6"/>
  <c r="K42" i="6"/>
  <c r="K41" i="6"/>
  <c r="AG12" i="6"/>
  <c r="AF12" i="6"/>
  <c r="AE12" i="6"/>
  <c r="AD12" i="6"/>
  <c r="S8" i="6"/>
  <c r="J8" i="6"/>
  <c r="D8" i="6"/>
  <c r="S7" i="6"/>
  <c r="J7" i="6"/>
  <c r="S6" i="6"/>
  <c r="J6" i="6"/>
  <c r="D6" i="6"/>
  <c r="S5" i="6"/>
  <c r="J5" i="6"/>
  <c r="D5" i="6"/>
  <c r="AI1" i="6"/>
  <c r="U35" i="8"/>
  <c r="L41" i="6"/>
  <c r="O43" i="6"/>
  <c r="N41" i="6"/>
  <c r="N42" i="6"/>
  <c r="O42" i="6"/>
  <c r="N39" i="18"/>
  <c r="N38" i="18"/>
  <c r="U33" i="8"/>
  <c r="O38" i="18"/>
  <c r="L43" i="6"/>
  <c r="M41" i="6"/>
  <c r="AB43" i="6"/>
  <c r="U38" i="18"/>
  <c r="L37" i="18"/>
  <c r="AB42" i="6"/>
  <c r="N43" i="6"/>
  <c r="L42" i="6"/>
  <c r="M42" i="6"/>
  <c r="M38" i="18"/>
  <c r="T33" i="8"/>
  <c r="T34" i="8"/>
  <c r="L38" i="18"/>
  <c r="AB41" i="6"/>
  <c r="W38" i="18"/>
  <c r="M43" i="6"/>
  <c r="P38" i="18"/>
  <c r="AB21" i="18" l="1"/>
  <c r="O34" i="2"/>
  <c r="O35" i="2" s="1"/>
  <c r="P34" i="2"/>
  <c r="P35" i="2" s="1"/>
  <c r="P17" i="2"/>
  <c r="N17" i="2"/>
  <c r="N15" i="2"/>
  <c r="O19" i="2"/>
  <c r="P14" i="2"/>
  <c r="O14" i="2"/>
  <c r="N14" i="2"/>
  <c r="N26" i="2"/>
  <c r="O15" i="2"/>
  <c r="P26" i="2"/>
  <c r="P15" i="2"/>
  <c r="O26" i="2"/>
  <c r="O12" i="2"/>
  <c r="P10" i="2"/>
  <c r="O10" i="2"/>
  <c r="N10" i="2"/>
  <c r="M37" i="18"/>
  <c r="M39" i="18"/>
  <c r="T35" i="8"/>
  <c r="L39" i="18"/>
  <c r="O39" i="18"/>
  <c r="O41" i="6"/>
  <c r="P39" i="18"/>
  <c r="U34" i="8"/>
  <c r="Q27" i="18" l="1"/>
  <c r="AA27" i="18"/>
  <c r="O27" i="18"/>
  <c r="AC28" i="18"/>
  <c r="O17" i="2"/>
  <c r="N34" i="2"/>
  <c r="N35" i="2" s="1"/>
  <c r="N19" i="2"/>
  <c r="N12" i="2"/>
  <c r="P36" i="2"/>
  <c r="U42" i="6"/>
  <c r="P37" i="18"/>
  <c r="U41" i="6"/>
  <c r="U43" i="6"/>
  <c r="AB27" i="18" l="1"/>
  <c r="AA28" i="18"/>
  <c r="O28" i="18"/>
  <c r="AB28" i="18" s="1"/>
  <c r="Q28" i="18"/>
  <c r="W27" i="18"/>
  <c r="N11" i="2"/>
  <c r="N13" i="2" s="1"/>
  <c r="N23" i="2" s="1"/>
  <c r="O11" i="2"/>
  <c r="O13" i="2" s="1"/>
  <c r="P11" i="2"/>
  <c r="U37" i="18"/>
  <c r="N37" i="18"/>
  <c r="O37" i="18"/>
  <c r="W41" i="6"/>
  <c r="W42" i="6"/>
  <c r="W43" i="6"/>
  <c r="AB34" i="18" l="1"/>
  <c r="P12" i="2"/>
  <c r="Q37" i="18"/>
  <c r="W28" i="18"/>
  <c r="N18" i="2"/>
  <c r="N21" i="2" s="1"/>
  <c r="O18" i="2"/>
  <c r="O21" i="2" s="1"/>
  <c r="O24" i="2" s="1"/>
  <c r="O29" i="2" s="1"/>
  <c r="P18" i="2"/>
  <c r="W37" i="18"/>
  <c r="P13" i="2" l="1"/>
  <c r="P23" i="2" s="1"/>
  <c r="P19" i="2"/>
  <c r="N24" i="2"/>
  <c r="P30" i="2"/>
  <c r="P21" i="2" l="1"/>
  <c r="P24" i="2" s="1"/>
  <c r="N29" i="2"/>
  <c r="P29" i="2" l="1"/>
  <c r="T29" i="2"/>
</calcChain>
</file>

<file path=xl/sharedStrings.xml><?xml version="1.0" encoding="utf-8"?>
<sst xmlns="http://schemas.openxmlformats.org/spreadsheetml/2006/main" count="1629" uniqueCount="1052">
  <si>
    <t>Allgemeine Prämissen</t>
  </si>
  <si>
    <t>BMW Group</t>
  </si>
  <si>
    <t>QUOTATION ANALYSIS FORM</t>
  </si>
  <si>
    <t>ENTWURF - VERTRAULICH</t>
  </si>
  <si>
    <t>ZUSAMMENFASSUNG</t>
  </si>
  <si>
    <t>Bearbeiter Lieferant:</t>
  </si>
  <si>
    <t>Teilebenennung:</t>
  </si>
  <si>
    <t>E-Mail:</t>
  </si>
  <si>
    <t>BMW Lieferanten-Nr.:</t>
  </si>
  <si>
    <t>Änderungsindex (AI):</t>
  </si>
  <si>
    <t>Telefon:</t>
  </si>
  <si>
    <t>BMW Projekt:</t>
  </si>
  <si>
    <t>Anfragenummer / Version:</t>
  </si>
  <si>
    <t>Angebotsdatum:</t>
  </si>
  <si>
    <t>BMW Sachnummer:</t>
  </si>
  <si>
    <t>Variante:</t>
  </si>
  <si>
    <t>1.</t>
  </si>
  <si>
    <t>2.</t>
  </si>
  <si>
    <t>Fertigungskosten</t>
  </si>
  <si>
    <t>3.</t>
  </si>
  <si>
    <t>4.</t>
  </si>
  <si>
    <t>5.</t>
  </si>
  <si>
    <t>Prämissen Lieferant</t>
  </si>
  <si>
    <t>6.</t>
  </si>
  <si>
    <t>7.</t>
  </si>
  <si>
    <t>Sonstige Daten</t>
  </si>
  <si>
    <t>Teileabmessungen (LxBxH) [mm]:</t>
  </si>
  <si>
    <t>Teilegewicht unverpackt [kg]:</t>
  </si>
  <si>
    <t>Gesamtgewicht [kg]:</t>
  </si>
  <si>
    <t>Versorgungsart/KOVP Abrufstatus:</t>
  </si>
  <si>
    <t>Entwicklungskosten</t>
  </si>
  <si>
    <t>Erläuterung:</t>
  </si>
  <si>
    <t xml:space="preserve"> Prozessbezeichnung</t>
  </si>
  <si>
    <t xml:space="preserve"> Standort</t>
  </si>
  <si>
    <t xml:space="preserve"> Zykluszeit [s]</t>
  </si>
  <si>
    <t xml:space="preserve"> Teile pro Zyklus</t>
  </si>
  <si>
    <t>Sonderbetriebsmittel</t>
  </si>
  <si>
    <t>Angaben in Angebotswährung</t>
  </si>
  <si>
    <t xml:space="preserve"> Beschaffungswährung BW</t>
  </si>
  <si>
    <t xml:space="preserve"> Wechselkurs [AW/BW]</t>
  </si>
  <si>
    <t xml:space="preserve">     Angaben in Beschaffungswährung</t>
  </si>
  <si>
    <t>Anfragenr. / Version:</t>
  </si>
  <si>
    <t>Serienlaufzeit [Jahre] :</t>
  </si>
  <si>
    <t>Gesamtvolumen gem. Anfrage [Teile]:</t>
  </si>
  <si>
    <t>Peakvolumen Jahr [Teile / Jahr] :</t>
  </si>
  <si>
    <t>EUR</t>
  </si>
  <si>
    <t>Hilfe und Dokumentation</t>
  </si>
  <si>
    <t xml:space="preserve"> Maschinenstundensatz
 MSS [BW/h]</t>
  </si>
  <si>
    <t xml:space="preserve"> Bezeichnung
 Anlage/Maschine/Typ</t>
  </si>
  <si>
    <t xml:space="preserve"> Teilebenennung</t>
  </si>
  <si>
    <t xml:space="preserve"> Technische Funktion
 des Bauteils</t>
  </si>
  <si>
    <t xml:space="preserve"> Lieferant</t>
  </si>
  <si>
    <t xml:space="preserve"> Materialgemeinkosten
 MGK [%]</t>
  </si>
  <si>
    <t>Bearbeiter:</t>
  </si>
  <si>
    <t>8.</t>
  </si>
  <si>
    <t xml:space="preserve"> Angebotswährung AW</t>
  </si>
  <si>
    <t xml:space="preserve"> Standort des Herstellers</t>
  </si>
  <si>
    <t>GESAMTKOSTEN</t>
  </si>
  <si>
    <t>Summen</t>
  </si>
  <si>
    <t>Prämissenblatt</t>
  </si>
  <si>
    <t>Liste der Rohstoffschlüssel</t>
  </si>
  <si>
    <t>Liste der zulässigen Angebotswährungen</t>
  </si>
  <si>
    <t>CAD</t>
  </si>
  <si>
    <t>US</t>
  </si>
  <si>
    <t>US-Dollar</t>
  </si>
  <si>
    <t>USD</t>
  </si>
  <si>
    <t>BRL</t>
  </si>
  <si>
    <t>GBP</t>
  </si>
  <si>
    <t>Britisches Pfund</t>
  </si>
  <si>
    <t>ZAR</t>
  </si>
  <si>
    <t>NOK</t>
  </si>
  <si>
    <t>Norwegische Krone</t>
  </si>
  <si>
    <t>SEK</t>
  </si>
  <si>
    <t>Schwedische Krone</t>
  </si>
  <si>
    <t>CHF</t>
  </si>
  <si>
    <t>Schweizer Franken</t>
  </si>
  <si>
    <t>TRY</t>
  </si>
  <si>
    <t>INR</t>
  </si>
  <si>
    <t>CNY</t>
  </si>
  <si>
    <t>Chinesischer Renminbi</t>
  </si>
  <si>
    <t>KRW</t>
  </si>
  <si>
    <t>JPY</t>
  </si>
  <si>
    <t>NZD</t>
  </si>
  <si>
    <t>AUD</t>
  </si>
  <si>
    <t>Euro</t>
  </si>
  <si>
    <t>RUB</t>
  </si>
  <si>
    <t>Österreich</t>
  </si>
  <si>
    <t>AT</t>
  </si>
  <si>
    <t>Albanien</t>
  </si>
  <si>
    <t>AL</t>
  </si>
  <si>
    <t>Australien</t>
  </si>
  <si>
    <t>AU</t>
  </si>
  <si>
    <t>Belgien</t>
  </si>
  <si>
    <t>BE</t>
  </si>
  <si>
    <t>Bangladesch</t>
  </si>
  <si>
    <t>BD</t>
  </si>
  <si>
    <t>Bulgarien</t>
  </si>
  <si>
    <t>BG</t>
  </si>
  <si>
    <t>Bosnien und Herzegowina</t>
  </si>
  <si>
    <t>BA</t>
  </si>
  <si>
    <t>Brasilien</t>
  </si>
  <si>
    <t>BR</t>
  </si>
  <si>
    <t>Weißrussland</t>
  </si>
  <si>
    <t>BY</t>
  </si>
  <si>
    <t>Kanada</t>
  </si>
  <si>
    <t>CA</t>
  </si>
  <si>
    <t>Schweiz</t>
  </si>
  <si>
    <t>CH</t>
  </si>
  <si>
    <t>China</t>
  </si>
  <si>
    <t>CN</t>
  </si>
  <si>
    <t>Zypern</t>
  </si>
  <si>
    <t>CY</t>
  </si>
  <si>
    <t>Tschechien</t>
  </si>
  <si>
    <t>CZ</t>
  </si>
  <si>
    <t>Deutschland</t>
  </si>
  <si>
    <t>DE</t>
  </si>
  <si>
    <t>Dänemark</t>
  </si>
  <si>
    <t>DK</t>
  </si>
  <si>
    <t>Spanien</t>
  </si>
  <si>
    <t>ES</t>
  </si>
  <si>
    <t>Estland</t>
  </si>
  <si>
    <t>EE</t>
  </si>
  <si>
    <t>Ägypten</t>
  </si>
  <si>
    <t>EG</t>
  </si>
  <si>
    <t>Frankreich</t>
  </si>
  <si>
    <t>FR</t>
  </si>
  <si>
    <t>Finnland</t>
  </si>
  <si>
    <t>FI</t>
  </si>
  <si>
    <t>Großbritannien</t>
  </si>
  <si>
    <t>GB</t>
  </si>
  <si>
    <t>Griechenland</t>
  </si>
  <si>
    <t>GR</t>
  </si>
  <si>
    <t>Ungarn</t>
  </si>
  <si>
    <t>HU</t>
  </si>
  <si>
    <t>Kroatien</t>
  </si>
  <si>
    <t>HR</t>
  </si>
  <si>
    <t>Italien</t>
  </si>
  <si>
    <t>IT</t>
  </si>
  <si>
    <t>Israel</t>
  </si>
  <si>
    <t>IL</t>
  </si>
  <si>
    <t>Indien</t>
  </si>
  <si>
    <t>IN</t>
  </si>
  <si>
    <t>Iran</t>
  </si>
  <si>
    <t>IR</t>
  </si>
  <si>
    <t>Irland</t>
  </si>
  <si>
    <t>IE</t>
  </si>
  <si>
    <t>Island</t>
  </si>
  <si>
    <t>IS</t>
  </si>
  <si>
    <t>Japan</t>
  </si>
  <si>
    <t>JP</t>
  </si>
  <si>
    <t>Luxemburg</t>
  </si>
  <si>
    <t>LU</t>
  </si>
  <si>
    <t>Litauen</t>
  </si>
  <si>
    <t>LT</t>
  </si>
  <si>
    <t>Lettland</t>
  </si>
  <si>
    <t>LV</t>
  </si>
  <si>
    <t>Malta</t>
  </si>
  <si>
    <t>MT</t>
  </si>
  <si>
    <t>Marokko</t>
  </si>
  <si>
    <t>MA</t>
  </si>
  <si>
    <t>Malaysia</t>
  </si>
  <si>
    <t>MY</t>
  </si>
  <si>
    <t>Moldawien</t>
  </si>
  <si>
    <t>MD</t>
  </si>
  <si>
    <t>Mexiko</t>
  </si>
  <si>
    <t>MX</t>
  </si>
  <si>
    <t>Mazedonien</t>
  </si>
  <si>
    <t>MK</t>
  </si>
  <si>
    <t>Montenegro</t>
  </si>
  <si>
    <t>ME</t>
  </si>
  <si>
    <t>Norwegen</t>
  </si>
  <si>
    <t>NO</t>
  </si>
  <si>
    <t>Niederlande</t>
  </si>
  <si>
    <t>NL</t>
  </si>
  <si>
    <t>Neuseeland</t>
  </si>
  <si>
    <t>NZ</t>
  </si>
  <si>
    <t>Portugal</t>
  </si>
  <si>
    <t>PT</t>
  </si>
  <si>
    <t>Pakistan</t>
  </si>
  <si>
    <t>PK</t>
  </si>
  <si>
    <t>Polen</t>
  </si>
  <si>
    <t>PL</t>
  </si>
  <si>
    <t>Argentinien</t>
  </si>
  <si>
    <t>AR</t>
  </si>
  <si>
    <t>Taiwan</t>
  </si>
  <si>
    <t>TW</t>
  </si>
  <si>
    <t>Indonesien</t>
  </si>
  <si>
    <t>ID</t>
  </si>
  <si>
    <t>Rumänien</t>
  </si>
  <si>
    <t>RO</t>
  </si>
  <si>
    <t>Südkorea</t>
  </si>
  <si>
    <t>KR</t>
  </si>
  <si>
    <t>Uruguay</t>
  </si>
  <si>
    <t>UY</t>
  </si>
  <si>
    <t>Philippinen</t>
  </si>
  <si>
    <t>PH</t>
  </si>
  <si>
    <t>Russland</t>
  </si>
  <si>
    <t>RU</t>
  </si>
  <si>
    <t>Schweden</t>
  </si>
  <si>
    <t>SE</t>
  </si>
  <si>
    <t>Slowakei</t>
  </si>
  <si>
    <t>SK</t>
  </si>
  <si>
    <t>Slowenien</t>
  </si>
  <si>
    <t>SI</t>
  </si>
  <si>
    <t>Serbien</t>
  </si>
  <si>
    <t>RS</t>
  </si>
  <si>
    <t>Thailand</t>
  </si>
  <si>
    <t>TH</t>
  </si>
  <si>
    <t>Tunesien</t>
  </si>
  <si>
    <t>TN</t>
  </si>
  <si>
    <t>Türkei</t>
  </si>
  <si>
    <t>TR</t>
  </si>
  <si>
    <t>Ukraine</t>
  </si>
  <si>
    <t>UA</t>
  </si>
  <si>
    <t>USA</t>
  </si>
  <si>
    <t>Vietnam</t>
  </si>
  <si>
    <t>VN</t>
  </si>
  <si>
    <t>Südafrika</t>
  </si>
  <si>
    <t>ZA</t>
  </si>
  <si>
    <t>xx</t>
  </si>
  <si>
    <t>Weiteres Land</t>
  </si>
  <si>
    <t>yy</t>
  </si>
  <si>
    <t>zz</t>
  </si>
  <si>
    <t xml:space="preserve">    Angaben in Angebotswährung</t>
  </si>
  <si>
    <t>EGP</t>
  </si>
  <si>
    <t>ALL</t>
  </si>
  <si>
    <t>Iso-Währungs-code</t>
  </si>
  <si>
    <t>ARS</t>
  </si>
  <si>
    <t>BDT</t>
  </si>
  <si>
    <t>BAM</t>
  </si>
  <si>
    <t>BGN</t>
  </si>
  <si>
    <t>DKK</t>
  </si>
  <si>
    <t>Venezuela</t>
  </si>
  <si>
    <t>Monaco</t>
  </si>
  <si>
    <t>NEK</t>
  </si>
  <si>
    <t>ISK</t>
  </si>
  <si>
    <t>PLN</t>
  </si>
  <si>
    <t>CZK</t>
  </si>
  <si>
    <t>HUF</t>
  </si>
  <si>
    <t>RON</t>
  </si>
  <si>
    <t>HRK</t>
  </si>
  <si>
    <t>RSD</t>
  </si>
  <si>
    <t>LVL</t>
  </si>
  <si>
    <t>LTL</t>
  </si>
  <si>
    <t>Liechtenstein</t>
  </si>
  <si>
    <t>UAH</t>
  </si>
  <si>
    <t>Saudi-Arabien</t>
  </si>
  <si>
    <t>SAR</t>
  </si>
  <si>
    <t>VEF</t>
  </si>
  <si>
    <t>Dubai</t>
  </si>
  <si>
    <t>UAE</t>
  </si>
  <si>
    <t>ILS</t>
  </si>
  <si>
    <t>MAD</t>
  </si>
  <si>
    <t>MXN</t>
  </si>
  <si>
    <t>TND</t>
  </si>
  <si>
    <t>MYR</t>
  </si>
  <si>
    <t>Singapur</t>
  </si>
  <si>
    <t>SGD</t>
  </si>
  <si>
    <t>PHP</t>
  </si>
  <si>
    <t>THB</t>
  </si>
  <si>
    <t>VND</t>
  </si>
  <si>
    <t>Kambodscha</t>
  </si>
  <si>
    <t>KHR</t>
  </si>
  <si>
    <t>IDR</t>
  </si>
  <si>
    <t>TWD</t>
  </si>
  <si>
    <t>Vatikanstadt</t>
  </si>
  <si>
    <t>VA</t>
  </si>
  <si>
    <t>IRR</t>
  </si>
  <si>
    <t>MKD</t>
  </si>
  <si>
    <t>MDL</t>
  </si>
  <si>
    <t>PKR</t>
  </si>
  <si>
    <t>UYU</t>
  </si>
  <si>
    <t>BYR</t>
  </si>
  <si>
    <t>VE</t>
  </si>
  <si>
    <t>SA</t>
  </si>
  <si>
    <t>LI</t>
  </si>
  <si>
    <t>MC</t>
  </si>
  <si>
    <t>SG</t>
  </si>
  <si>
    <t>KH</t>
  </si>
  <si>
    <t>Länderliste</t>
  </si>
  <si>
    <t>Anbieter/Lieferant:</t>
  </si>
  <si>
    <t>Arbeitsstunden / Jahr [h]:</t>
  </si>
  <si>
    <t xml:space="preserve"> Auftragszeit [Wochen]</t>
  </si>
  <si>
    <t>Fertigungslosgröße [Teile]:</t>
  </si>
  <si>
    <t>Plankapazität [Teile / Jahr] :</t>
  </si>
  <si>
    <t xml:space="preserve"> Kapazität je AT  [Teile]
 1-Schicht</t>
  </si>
  <si>
    <t xml:space="preserve"> Kapazität je AT  [Teile]
 2-Schicht</t>
  </si>
  <si>
    <t xml:space="preserve"> Kapazität je AT  [Teile]
 3-Schicht</t>
  </si>
  <si>
    <t>ISO-Ländercode</t>
  </si>
  <si>
    <t>AE</t>
  </si>
  <si>
    <t xml:space="preserve"> Mengeneinheit</t>
  </si>
  <si>
    <t>Blaswerkzeug</t>
  </si>
  <si>
    <t>Konfektionswerkzeug</t>
  </si>
  <si>
    <t>Druckgusswerkzeug</t>
  </si>
  <si>
    <t>Kernkasten</t>
  </si>
  <si>
    <t>Stanzentgratwerkzeug</t>
  </si>
  <si>
    <t>Sinterwerkzeug</t>
  </si>
  <si>
    <t>Sprühformwerkzeug</t>
  </si>
  <si>
    <t>Strangpressdüse</t>
  </si>
  <si>
    <t>Extrudierwerkzeug</t>
  </si>
  <si>
    <t>Ziehwerkzeug</t>
  </si>
  <si>
    <t>Nachformwerkzeug</t>
  </si>
  <si>
    <t>Feinguss</t>
  </si>
  <si>
    <t xml:space="preserve">Kokillenwerkzeug </t>
  </si>
  <si>
    <t>Platinenschnitt</t>
  </si>
  <si>
    <t>Preformwerkzeug</t>
  </si>
  <si>
    <t>Presswerkzeug (ausgenommen Metall)</t>
  </si>
  <si>
    <t>Sandguss</t>
  </si>
  <si>
    <t>Vulkanisationswerkzeug</t>
  </si>
  <si>
    <t>Beschreibung</t>
  </si>
  <si>
    <t>Werkzeugarten- nummer</t>
  </si>
  <si>
    <t>10.</t>
  </si>
  <si>
    <t xml:space="preserve"> Maschinenkosten
 Angebot [AW]</t>
  </si>
  <si>
    <t xml:space="preserve"> Restfertigungsgemein-
 kosten Angebot [AW]</t>
  </si>
  <si>
    <t xml:space="preserve"> Fertigungseinzel-
 kosten Angebot [AW]</t>
  </si>
  <si>
    <t xml:space="preserve"> Anzahl direkte Mitarbeiter</t>
  </si>
  <si>
    <t xml:space="preserve"> Rohstoffschlüssel</t>
  </si>
  <si>
    <t xml:space="preserve"> Einsatzmenge [Einheiten]
 (nur Rohmaterial)</t>
  </si>
  <si>
    <t xml:space="preserve"> Materialkosten [AW]</t>
  </si>
  <si>
    <t xml:space="preserve"> Werkzeug-/
 Vorrichtungsart</t>
  </si>
  <si>
    <t xml:space="preserve"> Nettomenge [Einheiten]
 (nur Rohmaterial)</t>
  </si>
  <si>
    <t xml:space="preserve"> Materialgemeinkosten
 Angebot [AW]</t>
  </si>
  <si>
    <t>Schichten / Woche:</t>
  </si>
  <si>
    <t>Produktionsstart (SOP) [mm.jjjj] :</t>
  </si>
  <si>
    <t>SBM</t>
  </si>
  <si>
    <t>Folgewerkzeug</t>
  </si>
  <si>
    <t xml:space="preserve"> WAF vorhanden [ja/nein]</t>
  </si>
  <si>
    <t>Lieferbedingungen:</t>
  </si>
  <si>
    <t>Enthaltene Verpackung und Transport</t>
  </si>
  <si>
    <t>Enthaltene Zölle</t>
  </si>
  <si>
    <t>Zölle  Lieferant - BMW</t>
  </si>
  <si>
    <t>Transportkosten  Lieferant - BMW</t>
  </si>
  <si>
    <t>Stück (Kaufteil)</t>
  </si>
  <si>
    <t>Prämie (kg)</t>
  </si>
  <si>
    <t>Materialkosten</t>
  </si>
  <si>
    <t xml:space="preserve"> Verpackungskosten [AW]
 Angebot</t>
  </si>
  <si>
    <t xml:space="preserve"> Transportkosten
 Angebot [AW]</t>
  </si>
  <si>
    <t xml:space="preserve"> Zollkosten
 Angebot [AW]</t>
  </si>
  <si>
    <t xml:space="preserve"> Verpackungskosten
 je Mengeneinheit [AW]</t>
  </si>
  <si>
    <t xml:space="preserve"> Transportkosten
 je Mengeneinheit [AW]</t>
  </si>
  <si>
    <t xml:space="preserve"> Zollkosten 
 je Mengeneinheit [AW]</t>
  </si>
  <si>
    <t>Befüllung nach Vorgabe BMW Einkauf</t>
  </si>
  <si>
    <t>Beschaffungswährung</t>
  </si>
  <si>
    <t xml:space="preserve"> Fertigungseinzelkosten
 FEK [BW]</t>
  </si>
  <si>
    <t xml:space="preserve"> Restfertigungsgemeinkosten
 (RFGK) Stundensatz [BW/h]</t>
  </si>
  <si>
    <t xml:space="preserve"> Personalkosten
 Angebot [AW]</t>
  </si>
  <si>
    <t xml:space="preserve"> Fertigungskosten FK [AW]</t>
  </si>
  <si>
    <t>Aufspannvorrichtung BAZ</t>
  </si>
  <si>
    <t>Beflockungsaufnahme</t>
  </si>
  <si>
    <t>Galvanikgestelle</t>
  </si>
  <si>
    <t>Lötrahmen</t>
  </si>
  <si>
    <t>Maskieren</t>
  </si>
  <si>
    <t>Montagevorrichtungen aller Art</t>
  </si>
  <si>
    <t>NC-Programme aller Art</t>
  </si>
  <si>
    <t>Poliervorrichtung</t>
  </si>
  <si>
    <t>Rollensatz</t>
  </si>
  <si>
    <t>Siebdruckschablone</t>
  </si>
  <si>
    <t>Siebe</t>
  </si>
  <si>
    <t>Walzwerkzeug (mit Bauteilbezogener Narbung)</t>
  </si>
  <si>
    <t>Werkstückträger</t>
  </si>
  <si>
    <t>Gesamtschnitt-/ Verbund Werkzeug</t>
  </si>
  <si>
    <t xml:space="preserve">Spritzgießwerkzeug </t>
  </si>
  <si>
    <t>Streckbiegewerkzeug</t>
  </si>
  <si>
    <t>kg</t>
  </si>
  <si>
    <t>g</t>
  </si>
  <si>
    <t>m</t>
  </si>
  <si>
    <t>mm</t>
  </si>
  <si>
    <t>l</t>
  </si>
  <si>
    <t xml:space="preserve"> Materialausschuss [%]</t>
  </si>
  <si>
    <t>Material</t>
  </si>
  <si>
    <t>Fertigung</t>
  </si>
  <si>
    <t>Ausschusskosten</t>
  </si>
  <si>
    <t>Fertigungsstandort (Land / Ort):</t>
  </si>
  <si>
    <t>Maschine</t>
  </si>
  <si>
    <t>ja</t>
  </si>
  <si>
    <t>nein</t>
  </si>
  <si>
    <t>Verpackung</t>
  </si>
  <si>
    <t>Transport</t>
  </si>
  <si>
    <t>Zoll</t>
  </si>
  <si>
    <t>MGK</t>
  </si>
  <si>
    <t>Ausschuss</t>
  </si>
  <si>
    <t>Personal</t>
  </si>
  <si>
    <t>FEK</t>
  </si>
  <si>
    <t>(1.+ 2.+ 3.+ 4.+ 5.)</t>
  </si>
  <si>
    <t xml:space="preserve"> Materialkosten
 pro Mengeneinheit [AW]</t>
  </si>
  <si>
    <t xml:space="preserve"> Anzahl Werkzeuge /
 Vorrichtungen</t>
  </si>
  <si>
    <t>ANGEBOTSPREIS</t>
  </si>
  <si>
    <t>ANGEBOTSBASISPREIS</t>
  </si>
  <si>
    <t>(1.+ 2.)</t>
  </si>
  <si>
    <t xml:space="preserve"> Ausschuss pro
 Prozessschritt [%]</t>
  </si>
  <si>
    <t xml:space="preserve"> Auslegung / Kavitäten [x-fach]</t>
  </si>
  <si>
    <t>QAF Version 8 © BMW AG</t>
  </si>
  <si>
    <t xml:space="preserve"> Anzahl pro Angebotsteil</t>
  </si>
  <si>
    <t xml:space="preserve"> Verrechnungsform</t>
  </si>
  <si>
    <t xml:space="preserve"> Benennung
 Rohmaterial / Kaufteil</t>
  </si>
  <si>
    <t xml:space="preserve"> Fertigungskosten FK [BW]</t>
  </si>
  <si>
    <t xml:space="preserve">    Angaben in Beschaffungswährung</t>
  </si>
  <si>
    <t xml:space="preserve"> Summe Werkzeug- /
 Vorrichtungskosten [AW]</t>
  </si>
  <si>
    <t>Werkzeugliste SBM bzw. Folgewerkzeuge</t>
  </si>
  <si>
    <t>Einheitenliste Material</t>
  </si>
  <si>
    <t>Liste Ja / Nein</t>
  </si>
  <si>
    <t xml:space="preserve"> Ausschusskosten
 Material [AW]</t>
  </si>
  <si>
    <t xml:space="preserve"> Ausschusskosten
 Fertigung [AW]</t>
  </si>
  <si>
    <t>SUMME HERSTELLKOSTEN</t>
  </si>
  <si>
    <t>Warmpressen (Schmieden)</t>
  </si>
  <si>
    <t>Kaltpressen (Massivumformen)</t>
  </si>
  <si>
    <t>Prüfaufnahme/-Vorrichtungen spezifisch</t>
  </si>
  <si>
    <t>Zusätzliche Zeile: Leerzeile kopieren und vor letzter Zeile einfügen</t>
  </si>
  <si>
    <t xml:space="preserve"> Bemerkung</t>
  </si>
  <si>
    <t>Rüsten</t>
  </si>
  <si>
    <t xml:space="preserve"> Rüstkosten [AW]</t>
  </si>
  <si>
    <t xml:space="preserve"> Rüstkosten pro Stück [BW]</t>
  </si>
  <si>
    <t>Werkzeug-
verrechnungsform</t>
  </si>
  <si>
    <t>RFGK</t>
  </si>
  <si>
    <t xml:space="preserve"> Positionsnummer
 Fertigungsschritt</t>
  </si>
  <si>
    <t>Verrechnungsform</t>
  </si>
  <si>
    <t>Beschneide -/ Lochwerkzeug</t>
  </si>
  <si>
    <t>Biegewerkzeug(z.B.Rohrbiegen)</t>
  </si>
  <si>
    <t>Direktes / Indirektes Warmumformwerkzeug</t>
  </si>
  <si>
    <t>Elastomerpresswerkzeug</t>
  </si>
  <si>
    <t>Feinschneidwerkzeug</t>
  </si>
  <si>
    <t>Folgeverbundwerkzeug</t>
  </si>
  <si>
    <t>Galvanowerkzeug</t>
  </si>
  <si>
    <t>Hinterschäumwerkzeuge / -form</t>
  </si>
  <si>
    <t>IHU-Werkzeug</t>
  </si>
  <si>
    <t xml:space="preserve">Kaschier-Umbugwerkzeug für Standard M. </t>
  </si>
  <si>
    <t>RTM-Werkzeug(Harzinjektor)</t>
  </si>
  <si>
    <t>Schäumform</t>
  </si>
  <si>
    <t>Schweißwerkzeug für Standardmaschine</t>
  </si>
  <si>
    <t>Tubenziehwerkzeug</t>
  </si>
  <si>
    <t>Brechschablone</t>
  </si>
  <si>
    <t>Filmauftragvorrichtung</t>
  </si>
  <si>
    <t>Klebeaufnahme</t>
  </si>
  <si>
    <t>Lackiergestelle/-aufnahmen</t>
  </si>
  <si>
    <t>Mechanisierungszubehör (Greifer,Feeder,Entbutzen)</t>
  </si>
  <si>
    <t>Messaufnahme/-Vorrichtungen spezifisch</t>
  </si>
  <si>
    <t>Schneidaufnahme allgemein</t>
  </si>
  <si>
    <t>Schweißaufnahme/-gestelle</t>
  </si>
  <si>
    <t>Schweißwerkzeug für Sondermaschine</t>
  </si>
  <si>
    <t>Sonderwerkzeug mech. Fertigung</t>
  </si>
  <si>
    <t>Spannvorrichtung mech. Fertigung</t>
  </si>
  <si>
    <t>Stanzwerkzeug für LP-Nutzen</t>
  </si>
  <si>
    <t>Teileförderer bauteilbezogen</t>
  </si>
  <si>
    <t>Transportgestelle,- behälter (Waschen, Wärmebehandeln usw.)</t>
  </si>
  <si>
    <t>Bemerkungen:</t>
  </si>
  <si>
    <t>yd</t>
  </si>
  <si>
    <t>ft</t>
  </si>
  <si>
    <t>in</t>
  </si>
  <si>
    <t>sq.yd</t>
  </si>
  <si>
    <t>sq.ft</t>
  </si>
  <si>
    <t>sq.in</t>
  </si>
  <si>
    <t>m³</t>
  </si>
  <si>
    <t>m²</t>
  </si>
  <si>
    <t>cu.yd</t>
  </si>
  <si>
    <t>cu.ft.</t>
  </si>
  <si>
    <t>cu.in</t>
  </si>
  <si>
    <t>lb</t>
  </si>
  <si>
    <t>oz</t>
  </si>
  <si>
    <t>Einheitenliste
Fläche</t>
  </si>
  <si>
    <t>qm</t>
  </si>
  <si>
    <t>HKD</t>
  </si>
  <si>
    <t>Liste der zulässigen Beschaffungswährungen</t>
  </si>
  <si>
    <t xml:space="preserve"> Plausibilitätsprüfung
 "Verrechnungsform"</t>
  </si>
  <si>
    <t xml:space="preserve"> Plausibilitätsprüfung
 "Werkzeugart"</t>
  </si>
  <si>
    <t>Diadekor/ Diakopie</t>
  </si>
  <si>
    <t>Glaspressform (Pressbiegeform)</t>
  </si>
  <si>
    <t>Lew</t>
  </si>
  <si>
    <t>Dänische Krone</t>
  </si>
  <si>
    <t>Ägyptische Pfund</t>
  </si>
  <si>
    <t>Hongkong Dollar</t>
  </si>
  <si>
    <t>Philippinische Peso</t>
  </si>
  <si>
    <t>Leu</t>
  </si>
  <si>
    <t>Riyal</t>
  </si>
  <si>
    <t>Taiwan Dollar</t>
  </si>
  <si>
    <t>Australische Dollar</t>
  </si>
  <si>
    <t>Tschechische Krone</t>
  </si>
  <si>
    <t>Forint</t>
  </si>
  <si>
    <t>Rupiah</t>
  </si>
  <si>
    <t>Rupie</t>
  </si>
  <si>
    <t>Yen</t>
  </si>
  <si>
    <t>Won</t>
  </si>
  <si>
    <t>Ringgit</t>
  </si>
  <si>
    <t>Złoty</t>
  </si>
  <si>
    <t>Rubel</t>
  </si>
  <si>
    <t>Singapur Dollar</t>
  </si>
  <si>
    <t>Baht</t>
  </si>
  <si>
    <t>Argentinische Peso</t>
  </si>
  <si>
    <t>Mexikanische Peso</t>
  </si>
  <si>
    <t>Rand</t>
  </si>
  <si>
    <t>1. (Bestell-) Währung 1 [AW1]:</t>
  </si>
  <si>
    <t>Währungen</t>
  </si>
  <si>
    <t>Türkische Lira</t>
  </si>
  <si>
    <t>Canadische Dollar</t>
  </si>
  <si>
    <t>Brasilianische Real</t>
  </si>
  <si>
    <t>Wechselkurse zur Bestell-
währung [AW1]
(rein informativ)</t>
  </si>
  <si>
    <t>Preisindikation in Bestellwährung [AW1]</t>
  </si>
  <si>
    <t>VERTRAULICH</t>
  </si>
  <si>
    <t>AL01</t>
  </si>
  <si>
    <t>AL02</t>
  </si>
  <si>
    <t>AL03</t>
  </si>
  <si>
    <t>AL04</t>
  </si>
  <si>
    <t>KU01</t>
  </si>
  <si>
    <t>KU02</t>
  </si>
  <si>
    <t>KU03</t>
  </si>
  <si>
    <t>KU04</t>
  </si>
  <si>
    <t>KU05</t>
  </si>
  <si>
    <t>KU06</t>
  </si>
  <si>
    <t>KU07</t>
  </si>
  <si>
    <t>KU08</t>
  </si>
  <si>
    <t>KU09</t>
  </si>
  <si>
    <t>KU10</t>
  </si>
  <si>
    <t>KU11</t>
  </si>
  <si>
    <t>KU12</t>
  </si>
  <si>
    <t>KU13</t>
  </si>
  <si>
    <t>KU14</t>
  </si>
  <si>
    <t>KU15</t>
  </si>
  <si>
    <t>KU99</t>
  </si>
  <si>
    <t>SO01</t>
  </si>
  <si>
    <t>SO02</t>
  </si>
  <si>
    <t>SO03</t>
  </si>
  <si>
    <t>SO04</t>
  </si>
  <si>
    <t>SO05</t>
  </si>
  <si>
    <t>SO06</t>
  </si>
  <si>
    <t>SO07</t>
  </si>
  <si>
    <t>SO08</t>
  </si>
  <si>
    <t>SO09</t>
  </si>
  <si>
    <t>SO20</t>
  </si>
  <si>
    <t>SO23</t>
  </si>
  <si>
    <t>SO24</t>
  </si>
  <si>
    <t>SO30</t>
  </si>
  <si>
    <t>SO31</t>
  </si>
  <si>
    <t>SO99</t>
  </si>
  <si>
    <t>ST01</t>
  </si>
  <si>
    <t>ST02</t>
  </si>
  <si>
    <t>ST03</t>
  </si>
  <si>
    <t>ST04</t>
  </si>
  <si>
    <t>ST05</t>
  </si>
  <si>
    <t>ST06</t>
  </si>
  <si>
    <t>ST07</t>
  </si>
  <si>
    <t>ST08</t>
  </si>
  <si>
    <t>ST09</t>
  </si>
  <si>
    <t>ST10</t>
  </si>
  <si>
    <t>ST11</t>
  </si>
  <si>
    <t>ST12</t>
  </si>
  <si>
    <t>ST30</t>
  </si>
  <si>
    <t>ST99</t>
  </si>
  <si>
    <t>ALUMINIUM</t>
  </si>
  <si>
    <t>ALUMINIUM SCHROTT</t>
  </si>
  <si>
    <t>ALUMINIUM SCHROTT 2</t>
  </si>
  <si>
    <t>REINALUMINIUMPRAEMIE (ECDP/ECDU)</t>
  </si>
  <si>
    <t>Kunststoff-ABS,</t>
  </si>
  <si>
    <t>Kunststoff-ABS-PC,</t>
  </si>
  <si>
    <t>Kunststoff-PVC,</t>
  </si>
  <si>
    <t>KUNSTSTOFF-PA,</t>
  </si>
  <si>
    <t>Kunststoff-POM,</t>
  </si>
  <si>
    <t>KUNSTSTOFF-PP-TVXX,</t>
  </si>
  <si>
    <t>KUNSTSTOFF-PP, -</t>
  </si>
  <si>
    <t>Kunststoff-PP-GFxx,</t>
  </si>
  <si>
    <t>Kunststoff-PE,</t>
  </si>
  <si>
    <t>Kunststoff-Polyol,</t>
  </si>
  <si>
    <t>KUNSTSTOFF-MDI,</t>
  </si>
  <si>
    <t>Kunststoff-EPDM,</t>
  </si>
  <si>
    <t>Kunststoff-Naturkautschuk</t>
  </si>
  <si>
    <t>EPOXIDHARZ</t>
  </si>
  <si>
    <t>SYNTHESEKAUTSCHUK</t>
  </si>
  <si>
    <t>Kunststoff-Allgemein</t>
  </si>
  <si>
    <t>KUPFER,</t>
  </si>
  <si>
    <t>BLEI,</t>
  </si>
  <si>
    <t>Nickel,</t>
  </si>
  <si>
    <t>Magnesium,</t>
  </si>
  <si>
    <t>GLAS,</t>
  </si>
  <si>
    <t>Fluids,</t>
  </si>
  <si>
    <t>Prozessmaterial</t>
  </si>
  <si>
    <t>FERROCHROM</t>
  </si>
  <si>
    <t>CHROMIUM</t>
  </si>
  <si>
    <t>PLATIN (NUR MG-5)</t>
  </si>
  <si>
    <t>PALLADIUM (NUR MG-5)</t>
  </si>
  <si>
    <t>NEODYM</t>
  </si>
  <si>
    <t>DYSPROSIUM</t>
  </si>
  <si>
    <t>SONSTIGES</t>
  </si>
  <si>
    <t>STAHLBLECH HAUS (HDG)</t>
  </si>
  <si>
    <t>Stahl-Edelstahl (Austenit),</t>
  </si>
  <si>
    <t>Stahl-Edelstahl (Ferrit),</t>
  </si>
  <si>
    <t>Stahl-Eisenguss,</t>
  </si>
  <si>
    <t>Stahl-Schmiedestahl,</t>
  </si>
  <si>
    <t>Stahl-Walzdraht,</t>
  </si>
  <si>
    <t>STAHL- STAHLSCHROTT</t>
  </si>
  <si>
    <t>EDELSTAHL BASISSTAHL</t>
  </si>
  <si>
    <t>STAHLBLECH KAUF (HDG)</t>
  </si>
  <si>
    <t>STAHLBLECH WARMBAND (HRC)</t>
  </si>
  <si>
    <t>STAHLBLECH US (HDG)</t>
  </si>
  <si>
    <t>STAHLBLECH US (HRC)</t>
  </si>
  <si>
    <t>ELEKTROBLECH</t>
  </si>
  <si>
    <t>STAHL-ALLGEMEIN</t>
  </si>
  <si>
    <t>Änderungshistorie</t>
  </si>
  <si>
    <t>Berücksichtigung Rohstoffschlüssel</t>
  </si>
  <si>
    <t>Aktualisierung Formel Preisgleitklausel</t>
  </si>
  <si>
    <t>Berücksichtigung WZ_IH_Kosten</t>
  </si>
  <si>
    <t>"Unnötige Formel" Deckblatt entfernt</t>
  </si>
  <si>
    <t>Albanischer Lek</t>
  </si>
  <si>
    <t>AED</t>
  </si>
  <si>
    <t>VAE Dirham</t>
  </si>
  <si>
    <t>Bosnische Mark</t>
  </si>
  <si>
    <t>Bangladeschischer Taka</t>
  </si>
  <si>
    <t>bulgarischer Lew</t>
  </si>
  <si>
    <t>Weißrussischer Rubel</t>
  </si>
  <si>
    <t>Kroatische Kuna</t>
  </si>
  <si>
    <t>Israelische Schekel</t>
  </si>
  <si>
    <t>Iranischer Rial</t>
  </si>
  <si>
    <t>Isländische Krone</t>
  </si>
  <si>
    <t>Kambodschanischer Riel</t>
  </si>
  <si>
    <t>Litauische Litas</t>
  </si>
  <si>
    <t>Lettische Lats</t>
  </si>
  <si>
    <t>Marokkanischer Dirham</t>
  </si>
  <si>
    <t>Moldawischer Leu</t>
  </si>
  <si>
    <t>Mazedonischer Denar</t>
  </si>
  <si>
    <t>Neuseeland-Dollar</t>
  </si>
  <si>
    <t>Pakistanische Rupie</t>
  </si>
  <si>
    <t>Serbischer Dinar</t>
  </si>
  <si>
    <t>Tunesischer Dinar</t>
  </si>
  <si>
    <t>Ukrainische Hrywnja</t>
  </si>
  <si>
    <t>Uruguayischer Peso</t>
  </si>
  <si>
    <t>Venezolanischer Bolivar</t>
  </si>
  <si>
    <t>Vietnamesischer Dong</t>
  </si>
  <si>
    <t>zulässige Beschaffungswährungen aktualisiert</t>
  </si>
  <si>
    <t>Ungarische Forint</t>
  </si>
  <si>
    <t>Indonesische Rupiah</t>
  </si>
  <si>
    <t>Indische Rupie</t>
  </si>
  <si>
    <t>Japanischer YEN</t>
  </si>
  <si>
    <t>Südkoreanischer Won</t>
  </si>
  <si>
    <t>Malayische Ringgit</t>
  </si>
  <si>
    <t>Polnische Złoty</t>
  </si>
  <si>
    <t>Rumänischer Leu</t>
  </si>
  <si>
    <t>Russische Rubel</t>
  </si>
  <si>
    <t>Saudi Rial</t>
  </si>
  <si>
    <t>Thailändische Baht</t>
  </si>
  <si>
    <t>Südafrikanischer Rand</t>
  </si>
  <si>
    <t>WZ_IH_Kosten aus Fertigungskosten entfernt</t>
  </si>
  <si>
    <t>Aktualisierung Plausibilitätsprüfung SEKOF/SBM</t>
  </si>
  <si>
    <t>allgemein</t>
  </si>
  <si>
    <t>Werkzeuginstandhaltung</t>
  </si>
  <si>
    <t>Plausibilitätsprüfung WZ-IH Kosten aktualisiert</t>
  </si>
  <si>
    <t>bedingte Formatierung WZ-IH aktualisiert</t>
  </si>
  <si>
    <t xml:space="preserve"> Standzeit [Zyklen]</t>
  </si>
  <si>
    <t>HK</t>
  </si>
  <si>
    <t xml:space="preserve">        Hilfe und Dokumentation</t>
  </si>
  <si>
    <t xml:space="preserve"> </t>
  </si>
  <si>
    <t xml:space="preserve">   Hilfe und Dokumentation</t>
  </si>
  <si>
    <t>Überarbeitung SBM und SEKOF-Tabellen + Wertebereich</t>
  </si>
  <si>
    <t>SBM Liste in beiden Prämissenblätter gleichgestellt.</t>
  </si>
  <si>
    <t>Löschhinweis in Blatt "SBM Inventarisierung"</t>
  </si>
  <si>
    <t>Schriftart auf BMW Group light umgestellt.</t>
  </si>
  <si>
    <t>Feld Änderungsindex auf "Text formatiert"</t>
  </si>
  <si>
    <t>Spalte "E" in SBM Inventarisierung mit Zeilenumbruch formatiert</t>
  </si>
  <si>
    <t>Verknüpfung SNR mit Zusammenfassungsblatt</t>
  </si>
  <si>
    <t>Ländercode Shanghai ="020" anstatt "20"</t>
  </si>
  <si>
    <t>SNR-Verlinkung mit Zusammenfassungsblatt</t>
  </si>
  <si>
    <r>
      <t>2. Angebotswährung 2 [AW2]</t>
    </r>
    <r>
      <rPr>
        <sz val="8"/>
        <rFont val="BMW Group Light"/>
      </rPr>
      <t xml:space="preserve"> (optional):</t>
    </r>
  </si>
  <si>
    <r>
      <t>3. Angebotswährung 3 [AW3]</t>
    </r>
    <r>
      <rPr>
        <sz val="8"/>
        <rFont val="BMW Group Light"/>
      </rPr>
      <t xml:space="preserve"> (optional):</t>
    </r>
  </si>
  <si>
    <t>Oman</t>
  </si>
  <si>
    <t>OM</t>
  </si>
  <si>
    <t>OMR</t>
  </si>
  <si>
    <t>Hongkong</t>
  </si>
  <si>
    <t>Ländercodes für Dänemark, Finnland und Schweden auf dreistellig umgestellt</t>
  </si>
  <si>
    <t>Verknüpfung für Auswahl "Argentinien" --&gt; Orte richtig gestellt</t>
  </si>
  <si>
    <t>Land "Oman" und "Hongkong" hinzugefügt (inkl. Regionen)</t>
  </si>
  <si>
    <t>LZ</t>
  </si>
  <si>
    <t>Legierungszuschlag</t>
  </si>
  <si>
    <t>Kommentarfelder von Hr. Eibl löschen</t>
  </si>
  <si>
    <t>Format Anfragenummer/Version = Text</t>
  </si>
  <si>
    <t>Benennung der Währungsspalte 2 und 3 auf dem
Zusammenfassungsblatt</t>
  </si>
  <si>
    <t>Text auf links formatiert, Lieferbed. Im Zus.Blatt</t>
  </si>
  <si>
    <t>Zeilenhöhe Z.11 auf Blatt Fertigung erhöht, damit Text von RFGK zweizeilig angezeigt wird.</t>
  </si>
  <si>
    <t>Farbformatierung bei Fertigungsblatt unten bei der Zusammenfassung (Bereiche falsch definiert)</t>
  </si>
  <si>
    <t>Zusammenfassungsblatt, Spalte L verbreitert.</t>
  </si>
  <si>
    <t>Blatt SBM/SEKOF --&gt; Zeilenhöhe Z34 angepasst, Text war nicht vollständig lesbar.</t>
  </si>
  <si>
    <t>Eingabefeld "Änderungsmeldungsnummer" auf Text umformartiert, führende Null wird angezeigt.</t>
  </si>
  <si>
    <t>Feldformatierung von Währungsspalte, die nach auswahl eingeblendet werden richtig gestellt.</t>
  </si>
  <si>
    <t>email-Adresse als Hyperlink anzeigen:
=HYPERLINK(VERKETTEN("mailto:";C6);C6)</t>
  </si>
  <si>
    <t>ALUMINIUM HG 3M SELLER LME (MTZ)</t>
  </si>
  <si>
    <t>KUPFER LME CASH SELLER (MTZ)</t>
  </si>
  <si>
    <t>NICKEL LME CASH SELLER (MTZ)</t>
  </si>
  <si>
    <t>BLEI LME CASH SELLER (MTZ)</t>
  </si>
  <si>
    <t>GIESSEREI STAHLSCHROTT USA (MTZ)</t>
  </si>
  <si>
    <t>STAHLSCHMIEDE-SCHROTTZUSCHLAG (MTZ)</t>
  </si>
  <si>
    <t>Aluminium (LME, Reinrohstoff)</t>
  </si>
  <si>
    <t>Aluminium Schrott 2/Wertverzehr 2</t>
  </si>
  <si>
    <t>Kunststoff Prozessmaterial/Lack</t>
  </si>
  <si>
    <t>Kunststoff Polyacrylnitril</t>
  </si>
  <si>
    <t>Kupfer (LME, Reinrohstoff)</t>
  </si>
  <si>
    <t>Blei (LME, Reinrohstoff)</t>
  </si>
  <si>
    <t>Nickel (LME, Reinrohstoff)</t>
  </si>
  <si>
    <t>Magnesium (Reinrohstoff)</t>
  </si>
  <si>
    <t>Prozessmaterial - sonstige</t>
  </si>
  <si>
    <t>Zinn (Reinrohstoff)</t>
  </si>
  <si>
    <t>Zink (Reinrohstoff)</t>
  </si>
  <si>
    <t>Carbon Black</t>
  </si>
  <si>
    <t>Palladium (oz)</t>
  </si>
  <si>
    <t>Rhodium (oz)</t>
  </si>
  <si>
    <t>Palladium (g)</t>
  </si>
  <si>
    <t>Rhodium (g)</t>
  </si>
  <si>
    <t>Neodym  - Domestic</t>
  </si>
  <si>
    <t>Dysprosium - Domestic</t>
  </si>
  <si>
    <t>Dysprosium - FOB-Preisbasis</t>
  </si>
  <si>
    <t>Sonstige Rohstoffe</t>
  </si>
  <si>
    <t>A013</t>
  </si>
  <si>
    <t>CUCA</t>
  </si>
  <si>
    <t>NICA</t>
  </si>
  <si>
    <t>PBCA</t>
  </si>
  <si>
    <t>SRUS</t>
  </si>
  <si>
    <t>SRZS</t>
  </si>
  <si>
    <t>SRZU</t>
  </si>
  <si>
    <t>KU16</t>
  </si>
  <si>
    <t>KU17</t>
  </si>
  <si>
    <t>SO10</t>
  </si>
  <si>
    <t>SO11</t>
  </si>
  <si>
    <t>SO12</t>
  </si>
  <si>
    <t>SO21</t>
  </si>
  <si>
    <t>SO22</t>
  </si>
  <si>
    <t>SO25</t>
  </si>
  <si>
    <t>SO32</t>
  </si>
  <si>
    <t>SO33</t>
  </si>
  <si>
    <t>Beschreibung Rohstoffschlüssel</t>
  </si>
  <si>
    <t>Anteilsart</t>
  </si>
  <si>
    <t>Hinweismeldung im Blatt "Rohstoffrisiken" zur weiteren Vorgehensweise</t>
  </si>
  <si>
    <t>nicht im 
Material-Blatt</t>
  </si>
  <si>
    <t>x</t>
  </si>
  <si>
    <t>Blatt "Rohstoffrisiken"</t>
  </si>
  <si>
    <t>Blatt "Material"</t>
  </si>
  <si>
    <t>Rohstoffdetaillierung: Befüllung nach Vorgabe BMW Einkauf lt. Anfrageunterlagen</t>
  </si>
  <si>
    <t>Durchschnittszeitraum:</t>
  </si>
  <si>
    <t>Von:</t>
  </si>
  <si>
    <t>Bis:</t>
  </si>
  <si>
    <t xml:space="preserve"> Positionsnummer</t>
  </si>
  <si>
    <t>Ergebnis</t>
  </si>
  <si>
    <t>Kunststoff ABS</t>
  </si>
  <si>
    <t>Kunststoff ABS-PC</t>
  </si>
  <si>
    <t>Kunststoff PVC</t>
  </si>
  <si>
    <t>GIESSEREI STAHLSCHROTT (MTZ)</t>
  </si>
  <si>
    <t>Kunststoff PA</t>
  </si>
  <si>
    <t>Kunststoff POM</t>
  </si>
  <si>
    <t>Kunststoff PP-TVxx</t>
  </si>
  <si>
    <t>Kunststoff PP</t>
  </si>
  <si>
    <t>Kunststoff PP-GFxx</t>
  </si>
  <si>
    <t>Kunststoff PE</t>
  </si>
  <si>
    <t>Kunststoff Polyol</t>
  </si>
  <si>
    <t>Kunststoff MDI</t>
  </si>
  <si>
    <t>Kunststoff EPDM</t>
  </si>
  <si>
    <t>Kunststoff Epoxidharz</t>
  </si>
  <si>
    <t>Glas</t>
  </si>
  <si>
    <t>Fluids, Öl, Kraftstoff</t>
  </si>
  <si>
    <t>Platin (oz)</t>
  </si>
  <si>
    <t>Platin (g)</t>
  </si>
  <si>
    <t>Neodym - FOB-Preisbasis</t>
  </si>
  <si>
    <t>Stahl-Blech (Haus)</t>
  </si>
  <si>
    <t>Stahl-Eisenguss</t>
  </si>
  <si>
    <t>Stahl-Schmiedestahl</t>
  </si>
  <si>
    <t>Stahl-Walzdraht</t>
  </si>
  <si>
    <t>Stahlblech Kauf US (HDG)</t>
  </si>
  <si>
    <t>Stahlblech Warmband US (HRC)</t>
  </si>
  <si>
    <t>Stahl-Elektroblech</t>
  </si>
  <si>
    <t>Stahl-Allgemein</t>
  </si>
  <si>
    <t xml:space="preserve">Aluminium Schrott/Wertverzehr </t>
  </si>
  <si>
    <t>Stahl-Edelstahl Basisstahl</t>
  </si>
  <si>
    <t>Ergänzungsumfänge die sich aus der Hinweismeldung ergeben.</t>
  </si>
  <si>
    <t>Ergänzende Schlüssel</t>
  </si>
  <si>
    <t>MOV</t>
  </si>
  <si>
    <t>PGK</t>
  </si>
  <si>
    <t>MTZ</t>
  </si>
  <si>
    <t>Resale</t>
  </si>
  <si>
    <t>Preisgleitklausel</t>
  </si>
  <si>
    <t>Rohstoff Preisanteil</t>
  </si>
  <si>
    <t>ggf. Detaillierung unten ergänzen mit Stahlschrott (Rückvergütung)</t>
  </si>
  <si>
    <t>Marktorienterte Verhandlung</t>
  </si>
  <si>
    <t>Description Rawmaterial-Code</t>
  </si>
  <si>
    <t>COPPER LME CASH SELLER (MTZ)</t>
  </si>
  <si>
    <t>LEAD LME CASH SELLER (MTZ)</t>
  </si>
  <si>
    <t>CASTING STEEL SCRAP US (MTZ) to.</t>
  </si>
  <si>
    <t>FORGED STEEL SCRAP SURCHARGE (MTZ)</t>
  </si>
  <si>
    <t>CASTING STEEL SCRAP (MTZ) 100kg</t>
  </si>
  <si>
    <t>Aluminium (LME, primary raw material)</t>
  </si>
  <si>
    <t>Aluminium Scrap/Lost value</t>
  </si>
  <si>
    <t>Aluminium Scrap 2/Lost value 2</t>
  </si>
  <si>
    <t xml:space="preserve">Plastics ABS                              </t>
  </si>
  <si>
    <t xml:space="preserve">Plastics ABS-PC                           </t>
  </si>
  <si>
    <t xml:space="preserve">Plastics PVC                              </t>
  </si>
  <si>
    <t xml:space="preserve">Plastics PA                               </t>
  </si>
  <si>
    <t xml:space="preserve">Plastics POM                              </t>
  </si>
  <si>
    <t xml:space="preserve">Plastics PP-TVxx                          </t>
  </si>
  <si>
    <t xml:space="preserve">Plastics PP                               </t>
  </si>
  <si>
    <t xml:space="preserve">Plastics PP-GFxx                          </t>
  </si>
  <si>
    <t xml:space="preserve">Plastics PE                               </t>
  </si>
  <si>
    <t xml:space="preserve">Plastics Polyol                           </t>
  </si>
  <si>
    <t xml:space="preserve">Plastics MDI                              </t>
  </si>
  <si>
    <t xml:space="preserve">Plastics EPDM                             </t>
  </si>
  <si>
    <t>Plastics Epoxy resin</t>
  </si>
  <si>
    <t>Plastics Process material Paintings</t>
  </si>
  <si>
    <t>Plastics Polyacrylnitril</t>
  </si>
  <si>
    <t>Plastics Others</t>
  </si>
  <si>
    <t>Copper (LME, primary raw material)</t>
  </si>
  <si>
    <t>Lead (LME, primary raw material)</t>
  </si>
  <si>
    <t>Nickel (LME, primary raw material)</t>
  </si>
  <si>
    <t>Magnesium (primary raw material)</t>
  </si>
  <si>
    <t xml:space="preserve">Glass               </t>
  </si>
  <si>
    <t>Fluids, oil, fuel</t>
  </si>
  <si>
    <t>Process Material Others</t>
  </si>
  <si>
    <t>Tin (primary raw material)</t>
  </si>
  <si>
    <t>Zinc (primary raw material)</t>
  </si>
  <si>
    <t xml:space="preserve">Platin (oz)            </t>
  </si>
  <si>
    <t xml:space="preserve">Platin (g)            </t>
  </si>
  <si>
    <t>Neodym - FOB price</t>
  </si>
  <si>
    <t>Dysprosium - FOB price</t>
  </si>
  <si>
    <t>Others (raw material)</t>
  </si>
  <si>
    <t xml:space="preserve">Steel sheet (BMW manufacturing)      </t>
  </si>
  <si>
    <t>Steel iron casting</t>
  </si>
  <si>
    <t>Steel Forged steel</t>
  </si>
  <si>
    <t>Steel Wire rod</t>
  </si>
  <si>
    <t>Stainless steel base price</t>
  </si>
  <si>
    <t>Steel Hot dipped galvanized US</t>
  </si>
  <si>
    <t>Steel Hot rolled coil US</t>
  </si>
  <si>
    <t>Steel electrical sheet</t>
  </si>
  <si>
    <t>Steel others</t>
  </si>
  <si>
    <t>Steel alloy surcharge</t>
  </si>
  <si>
    <t>Kunststoff Synthesekautschuk</t>
  </si>
  <si>
    <t>hier Fertiggewicht, ggf. Detaillierung unten  ergänzen mit Aluminium Schrott</t>
  </si>
  <si>
    <t>konstanter Wert, wird bei Rohstoffschwankung nicht angepasst (siehe Ausführungsbeispiel Aluminium)</t>
  </si>
  <si>
    <t>X</t>
  </si>
  <si>
    <t>Fertiggewicht</t>
  </si>
  <si>
    <t>hier als weitere Detaillierung für Stahl- und Gusslegierungselemente</t>
  </si>
  <si>
    <t>Detaillierung unten vornehmen mit Stahl-Edelstahl Basisstahl, Nickel, Ferrochrom</t>
  </si>
  <si>
    <t>hier nur als weitere Detaillierung für Stahl- und Gusslegierungselemente</t>
  </si>
  <si>
    <t>ggf. weitere Ergänzung um Nickel und Ferrochrom</t>
  </si>
  <si>
    <t>als Abschlag für Reststoffvergütung (siehe Ausführungsbeispiel Stahl)</t>
  </si>
  <si>
    <t>Materialteuerungszuschlag</t>
  </si>
  <si>
    <t>Resale-Programm</t>
  </si>
  <si>
    <t>Zur Aktuallisierung der Pivot-Tabelle bitte im Bereich der Tabelle die rechte Maus-Taste drücken --&gt; "Aktualisieren!"</t>
  </si>
  <si>
    <t xml:space="preserve"> Angebotswährung [AW]</t>
  </si>
  <si>
    <t xml:space="preserve"> Beschaffungswährung [BW]</t>
  </si>
  <si>
    <t>In-Circuit-Tester-Adapter (LP) inkl. Software, Funktionsprüfadapter, Endprüfadapter(ZB)</t>
  </si>
  <si>
    <t>Spannvorrichtung</t>
  </si>
  <si>
    <t xml:space="preserve"> Hinweismeldung, bei 
 Detaillierungsbedarf gegenüber
 dem Material-Blatt</t>
  </si>
  <si>
    <t xml:space="preserve"> Schwellwert SW [in%]
 (siehe Anfrageunterlagen)</t>
  </si>
  <si>
    <t xml:space="preserve"> BMW Beteiligungsquote BQ  [in%]
 (siehe Anfrageunterlagen)</t>
  </si>
  <si>
    <r>
      <t xml:space="preserve"> Indexnotierung RoI</t>
    </r>
    <r>
      <rPr>
        <b/>
        <vertAlign val="subscript"/>
        <sz val="10"/>
        <rFont val="BMW Group Light"/>
      </rPr>
      <t>0</t>
    </r>
    <r>
      <rPr>
        <b/>
        <sz val="9"/>
        <rFont val="BMW Group Light"/>
      </rPr>
      <t xml:space="preserve"> [AW/kg]
 im Durchschnittzeitraum</t>
    </r>
  </si>
  <si>
    <t xml:space="preserve"> Indexbezeichnung
 (siehe Anfrageunterlagen)</t>
  </si>
  <si>
    <t xml:space="preserve"> Abwicklungsmodell 
 (siehe Anfrageunterlagen)</t>
  </si>
  <si>
    <r>
      <t xml:space="preserve"> Rohstoff-Zuschlag [AW]
 RoZ</t>
    </r>
    <r>
      <rPr>
        <b/>
        <vertAlign val="subscript"/>
        <sz val="10"/>
        <rFont val="BMW Group Light"/>
      </rPr>
      <t>0</t>
    </r>
  </si>
  <si>
    <r>
      <t xml:space="preserve"> Rohstoffnotierung R</t>
    </r>
    <r>
      <rPr>
        <b/>
        <vertAlign val="subscript"/>
        <sz val="10"/>
        <rFont val="BMW Group Light"/>
      </rPr>
      <t>0</t>
    </r>
    <r>
      <rPr>
        <b/>
        <sz val="9"/>
        <rFont val="BMW Group Light"/>
      </rPr>
      <t xml:space="preserve"> [AW/kg]</t>
    </r>
  </si>
  <si>
    <t xml:space="preserve"> Bezugsgewicht [kg]</t>
  </si>
  <si>
    <t xml:space="preserve"> Rohstoffbezeichnung</t>
  </si>
  <si>
    <t xml:space="preserve"> Rohstoffnotierung
 Ro [AW/kg]</t>
  </si>
  <si>
    <t xml:space="preserve"> Rohstofffzuschlag
 RoZ0 [AW]</t>
  </si>
  <si>
    <t>Summe von  Bezugsgewicht [kg]</t>
  </si>
  <si>
    <t>KU41</t>
  </si>
  <si>
    <t>KU42</t>
  </si>
  <si>
    <t>KU44</t>
  </si>
  <si>
    <t>KU46</t>
  </si>
  <si>
    <t>KU47</t>
  </si>
  <si>
    <t>KU48</t>
  </si>
  <si>
    <t>KU49</t>
  </si>
  <si>
    <t xml:space="preserve">Kunststoff ABS - Recyclat                              </t>
  </si>
  <si>
    <t>Kunststoff ABS-PC - Recyclat</t>
  </si>
  <si>
    <t>Kunststoff PA - Recyclat</t>
  </si>
  <si>
    <t>Kunststoff PP-TVxx - Recyclat</t>
  </si>
  <si>
    <t>Kunststoff PP - Recyclat</t>
  </si>
  <si>
    <t>Kunststoff PP-GFxx - Recyclat</t>
  </si>
  <si>
    <t>Kunststoff PE - Recyclat</t>
  </si>
  <si>
    <t>Druckaufnahme (Tampondruck) / Klischees</t>
  </si>
  <si>
    <t>Kaschier- / Umbugwerkzeugwerkzeug für Sondermaschine</t>
  </si>
  <si>
    <t>Rohstoff - Preisanteil</t>
  </si>
  <si>
    <t>Nasspressen (CFK)</t>
  </si>
  <si>
    <t xml:space="preserve">Thixomolding </t>
  </si>
  <si>
    <t>Der Inhalt von diesem Blatt wird beim prüfen der datei mit QAF8-Tools gelöscht und neu befüllt</t>
  </si>
  <si>
    <t>ACHTUNG:</t>
  </si>
  <si>
    <t>Ausgrauung
Materialblatt</t>
  </si>
  <si>
    <t>Presswerkzeuge (Straßen-/Transfer-Werkzeug usw.)</t>
  </si>
  <si>
    <t>Messerschnitt (nicht Metall)</t>
  </si>
  <si>
    <t>Einmalzahlungen</t>
  </si>
  <si>
    <t>Ferrochromium high (65% Cr, 0,06% C)</t>
  </si>
  <si>
    <t>Ferrochrom high (65% Cr, 0,06% C)</t>
  </si>
  <si>
    <t>Ferrochromium low (low phosphor, max. 7% C)</t>
  </si>
  <si>
    <t>Ferrochrom low (low phosphor, max. 7% C)</t>
  </si>
  <si>
    <t>Plastics  ABS recycling material</t>
  </si>
  <si>
    <t>Plastics ABS-PC recycling material</t>
  </si>
  <si>
    <t>Natural Rubber</t>
  </si>
  <si>
    <t>Naturkautschuk</t>
  </si>
  <si>
    <t>Plastics PA recycling material</t>
  </si>
  <si>
    <t>Plastics PE recycling material</t>
  </si>
  <si>
    <t>Plastics PP recycling material</t>
  </si>
  <si>
    <t>Plastics PP-GFxx recycling material</t>
  </si>
  <si>
    <t>Plastics PP-TVxx recycling material</t>
  </si>
  <si>
    <t>Plastics synthetic rubber</t>
  </si>
  <si>
    <t xml:space="preserve">Aluminium Primary AL Premium (ECDP/ECDU)  </t>
  </si>
  <si>
    <t>Aluminium Primär-AL-Prämie (ECDP/ECDU)</t>
  </si>
  <si>
    <t xml:space="preserve">Aluminium Sekundary AL Premium (Alloy 226)  </t>
  </si>
  <si>
    <t>Aluminium-Sekundärprämie Leg. 226</t>
  </si>
  <si>
    <t>AL05</t>
  </si>
  <si>
    <t>Aluminium Primary AL Midwest Premium</t>
  </si>
  <si>
    <t xml:space="preserve">Aluminium Primär-AL-Midwest-Prämie </t>
  </si>
  <si>
    <t>AL06</t>
  </si>
  <si>
    <t>Aluminium Primary AL CJP Premium</t>
  </si>
  <si>
    <t>Aluminium Primär-AL-CJP-Prämie</t>
  </si>
  <si>
    <t>AL07</t>
  </si>
  <si>
    <t>Steel Hot dipped galvanized Europe</t>
  </si>
  <si>
    <t>Stahlblech Kauf Europa (HDG)</t>
  </si>
  <si>
    <t>Steel Hot dipped galvanized China</t>
  </si>
  <si>
    <t>Stahlblech Kauf China (HDG)</t>
  </si>
  <si>
    <t>ST15</t>
  </si>
  <si>
    <t>Steel Hot rolled coil Europe</t>
  </si>
  <si>
    <t>Stahlblech Warmband Europa (HRC)</t>
  </si>
  <si>
    <t>Steel Hot rolled coil China</t>
  </si>
  <si>
    <t>Stahlblech Warmband China (HRC)</t>
  </si>
  <si>
    <t>Steel scrap return Europe</t>
  </si>
  <si>
    <t>Stahlschrott (Rückvergütung) Europa</t>
  </si>
  <si>
    <t>Steel scrap return USA</t>
  </si>
  <si>
    <t>Stahlschrott (Rückvergütung) USA</t>
  </si>
  <si>
    <t>ST14</t>
  </si>
  <si>
    <t>Cobalt High Grade</t>
  </si>
  <si>
    <t>Kobalt High Grade</t>
  </si>
  <si>
    <t>SO13</t>
  </si>
  <si>
    <r>
      <t>hier Fertiggewicht, ggf. Detaillierung unten  ergänzen mit Aluminium Schrott</t>
    </r>
    <r>
      <rPr>
        <sz val="11"/>
        <color rgb="FFFF0000"/>
        <rFont val="BMW Group Light"/>
      </rPr>
      <t>/Wertverzehr</t>
    </r>
  </si>
  <si>
    <t>nur für Alu-Primärlegierungen zulässig - Europa</t>
  </si>
  <si>
    <t>nur für Alu-Leg. 226 zulässig</t>
  </si>
  <si>
    <t>nur für Alu-Primärlegierungen zulässig - USA</t>
  </si>
  <si>
    <t>nur für Alu-Primärlegierungen zulässig - Japan</t>
  </si>
  <si>
    <t>Aluminium HG 3M SELLER LME (MTZ)</t>
  </si>
  <si>
    <t xml:space="preserve">Aluminium HG SHFE </t>
  </si>
  <si>
    <t>AL08</t>
  </si>
  <si>
    <t>hier Fertiggewicht, ggf. Detaillierung unten  ergänzen mit Aluminium Schrott/Wertverzehr</t>
  </si>
  <si>
    <t>Abwicklungsmodelle</t>
  </si>
  <si>
    <t>(1.+ 2.+ 3.+ 4.)</t>
  </si>
  <si>
    <t>Sonstige Zuschläge</t>
  </si>
  <si>
    <t>(Summe 1. bis 8.)</t>
  </si>
  <si>
    <t>9.</t>
  </si>
  <si>
    <t>Gesamteinmalzahlungen (Indikation) in Bestellwährung [AW1]</t>
  </si>
  <si>
    <t>GESAMTEINMALZAHLUNG</t>
  </si>
  <si>
    <t>Stück (Rohstoff-Risiko)</t>
  </si>
  <si>
    <t>5. Rohstoffrisiken</t>
  </si>
  <si>
    <t>Seite 2 von 7</t>
  </si>
  <si>
    <t>1. Material</t>
  </si>
  <si>
    <t xml:space="preserve"> 2. Fertigungskosten</t>
  </si>
  <si>
    <t>Seite 3 von 7</t>
  </si>
  <si>
    <t>Seite 4 von 7</t>
  </si>
  <si>
    <t>Seite 5 von 7</t>
  </si>
  <si>
    <t>b2b.bmwgroup.net</t>
  </si>
  <si>
    <t>Summe direkte  variable Kosten + Afa</t>
  </si>
  <si>
    <t>Summe fixe Kosten</t>
  </si>
  <si>
    <t>Direkter Lohn pro Stück inkl. OEE</t>
  </si>
  <si>
    <t>Kalkulatorisch angesetzte Materialkosten pro
Mengeneinheit [BW]</t>
  </si>
  <si>
    <t>Kalkulatorisch angesetzte Rückvergütung [AW]
 (nur Rohmaterial)</t>
  </si>
  <si>
    <t>Kalkulatorisch angesetzte direkte 
Lohnkosten [BW/h]</t>
  </si>
  <si>
    <t xml:space="preserve"> Kalkulatorisch angesetzte Lohn-zuschlagssätze  SGK [%]</t>
  </si>
  <si>
    <t>Kalkulatorisch angesetzte Werkzeug- und Vorrichtungs-kosten [BW]</t>
  </si>
  <si>
    <r>
      <t xml:space="preserve">Die </t>
    </r>
    <r>
      <rPr>
        <b/>
        <sz val="10"/>
        <rFont val="BMW Group Light"/>
      </rPr>
      <t>Dokumentenlenkungsinformationen</t>
    </r>
    <r>
      <rPr>
        <sz val="10"/>
        <rFont val="BMW Group Light"/>
      </rPr>
      <t xml:space="preserve"> finden Sie unter:</t>
    </r>
  </si>
  <si>
    <t>https://vts4.bmwgroup.net/sites/m/cep/CEWi/Alle%20Dokumente/Dokumente%20mit%20externen%20Sichtrechten/DOKU_aktuell_Dokumentenlenkung_Kostenmodell_de.xlsx</t>
  </si>
  <si>
    <t>Vorrichtung</t>
  </si>
  <si>
    <t>Werkzeugliste Vorrichtungen</t>
  </si>
  <si>
    <t>Änderung Benennung "SEKOF" in "Vorrichtungen"</t>
  </si>
  <si>
    <t>3.  SBM, Vorrichtungen und Folgewerkzeuge</t>
  </si>
  <si>
    <t>Vorrichtungen und Folgewerkzeuge</t>
  </si>
  <si>
    <t>QAF Version 8.5_01_01 © BMW AG</t>
  </si>
  <si>
    <t xml:space="preserve">                (siehe Nutzerleitfaden QAF Version 8.5)</t>
  </si>
  <si>
    <t xml:space="preserve">    (siehe Nutzerleitfaden QAF Version 8.5)</t>
  </si>
  <si>
    <t>(siehe Nutzerleitfaden QAF Version 8.5)</t>
  </si>
  <si>
    <t xml:space="preserve"> Summe Werkzeugkosten
 SBM [AW]</t>
  </si>
  <si>
    <t>Vorrichtungen + Folgewerkzeuge
 + Werkzeuginstandhaltung
 pro Stück [AW]</t>
  </si>
  <si>
    <t>Vorrichtungen + 
FWZ + IH</t>
  </si>
  <si>
    <t>Maschinenstundensatzberechnung</t>
  </si>
  <si>
    <t>KALKULATIONSBASIS :</t>
  </si>
  <si>
    <t>Kalk. Zins (% v. AW/2):</t>
  </si>
  <si>
    <t>Steuer/Versicherungssatz (% v. AW):</t>
  </si>
  <si>
    <t>Raumkost.(€/m²/a):</t>
  </si>
  <si>
    <t>Zins f. Wiederbeschaffung:</t>
  </si>
  <si>
    <t>Arbeitstage p.a.:</t>
  </si>
  <si>
    <t xml:space="preserve"> Strom. (€/kWh):</t>
  </si>
  <si>
    <t>Stunden pro Schicht:</t>
  </si>
  <si>
    <t>Pressluft (€/m³- 6.2bar):</t>
  </si>
  <si>
    <t>Wasser [€/m³]</t>
  </si>
  <si>
    <t>Legende:</t>
  </si>
  <si>
    <t xml:space="preserve"> = Eingabefelder</t>
  </si>
  <si>
    <t>FIXKOSTEN</t>
  </si>
  <si>
    <t>PROP.-KOSTEN</t>
  </si>
  <si>
    <t>prod.</t>
  </si>
  <si>
    <t>Beschreibung der</t>
  </si>
  <si>
    <t>Schichten</t>
  </si>
  <si>
    <t>Ansch.-</t>
  </si>
  <si>
    <t>Wiederbe-</t>
  </si>
  <si>
    <t xml:space="preserve"> Nutzungs-</t>
  </si>
  <si>
    <t>AfA</t>
  </si>
  <si>
    <t>Kalk.</t>
  </si>
  <si>
    <t>Steuern/</t>
  </si>
  <si>
    <t>Raum-</t>
  </si>
  <si>
    <t>SUMME</t>
  </si>
  <si>
    <t>Hilfsstoffe</t>
  </si>
  <si>
    <t>Rep./Wart.</t>
  </si>
  <si>
    <t>Rep.-Kost.</t>
  </si>
  <si>
    <t>el.Energie</t>
  </si>
  <si>
    <t>Lastgrad</t>
  </si>
  <si>
    <t xml:space="preserve"> Pressl.</t>
  </si>
  <si>
    <r>
      <t>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</si>
  <si>
    <t>Verfüg-</t>
  </si>
  <si>
    <r>
      <t>S</t>
    </r>
    <r>
      <rPr>
        <b/>
        <sz val="10"/>
        <rFont val="Arial"/>
        <family val="2"/>
      </rPr>
      <t xml:space="preserve"> Energie</t>
    </r>
  </si>
  <si>
    <t>MSS</t>
  </si>
  <si>
    <t>Zeit</t>
  </si>
  <si>
    <t xml:space="preserve">Anlage
</t>
  </si>
  <si>
    <t xml:space="preserve">pro Tag
</t>
  </si>
  <si>
    <t xml:space="preserve">Wert [T€]
</t>
  </si>
  <si>
    <t>besch.-
Wert[T€]</t>
  </si>
  <si>
    <t xml:space="preserve"> dauer [a]
</t>
  </si>
  <si>
    <t>[€/a]
[€/h]</t>
  </si>
  <si>
    <t>Zins [€/a]
Zins [€/h]</t>
  </si>
  <si>
    <t>Vers.[€/a]
[€/h]</t>
  </si>
  <si>
    <t>bed [m²]
[€/h)</t>
  </si>
  <si>
    <t xml:space="preserve"> [€/a]
[€/h]</t>
  </si>
  <si>
    <t xml:space="preserve"> [%v.AW.]
</t>
  </si>
  <si>
    <t xml:space="preserve"> [kW/h]
</t>
  </si>
  <si>
    <t xml:space="preserve">[%]
</t>
  </si>
  <si>
    <t xml:space="preserve"> [l/h]
</t>
  </si>
  <si>
    <t xml:space="preserve">(m³/h)
</t>
  </si>
  <si>
    <t xml:space="preserve">bark. [%]
</t>
  </si>
  <si>
    <t xml:space="preserve">[€/h]
</t>
  </si>
  <si>
    <t xml:space="preserve">[h]
</t>
  </si>
  <si>
    <t>Mid line</t>
  </si>
  <si>
    <t>Mid Line</t>
  </si>
  <si>
    <t>QAF ZF:</t>
  </si>
  <si>
    <t>ZF Peterlee</t>
  </si>
  <si>
    <t>KAFAS4 MonoCam</t>
  </si>
  <si>
    <t>All</t>
  </si>
  <si>
    <t>K. Weigand</t>
  </si>
  <si>
    <t>SMT12</t>
  </si>
  <si>
    <t>Underfill</t>
  </si>
  <si>
    <t>Final Assembly</t>
  </si>
  <si>
    <t>Packaging</t>
  </si>
  <si>
    <t>Peterlee</t>
  </si>
  <si>
    <t>Testing 1</t>
  </si>
  <si>
    <t>Testing FFT</t>
  </si>
  <si>
    <t>Testing FFA</t>
  </si>
  <si>
    <t>SMT 12</t>
  </si>
  <si>
    <t>Umerchnung in QAF-Währung</t>
  </si>
  <si>
    <t>USD=</t>
  </si>
  <si>
    <t>€</t>
  </si>
  <si>
    <t>auf FK</t>
  </si>
  <si>
    <t>Testing  - Optical Calibration</t>
  </si>
  <si>
    <t>CMAT (AutoFocus)</t>
  </si>
  <si>
    <t>CMAT</t>
  </si>
  <si>
    <t>diverse Bauteile</t>
  </si>
  <si>
    <t>11,4643% auf HK</t>
  </si>
  <si>
    <t>nur Abschreibung</t>
  </si>
  <si>
    <t/>
  </si>
  <si>
    <t>Delta:</t>
  </si>
  <si>
    <t>ZF-Preis</t>
  </si>
  <si>
    <t>Bewertung K. Weigand (Absprung aus PDF-QAF abgeleitet)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</si>
</sst>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4" formatCode="_-* #,##0.00\ &quot;€&quot;_-;\-* #,##0.00\ &quot;€&quot;_-;_-* &quot;-&quot;??\ &quot;€&quot;_-;_-@_-"/>
    <numFmt numFmtId="164" formatCode="0.0"/>
    <numFmt numFmtId="165" formatCode="0.000"/>
    <numFmt numFmtId="166" formatCode="0.0%"/>
    <numFmt numFmtId="167" formatCode="mm/yyyy"/>
    <numFmt numFmtId="168" formatCode="General;General;"/>
    <numFmt numFmtId="169" formatCode="0.0000"/>
    <numFmt numFmtId="170" formatCode="_-* #,##0.00\ [$€-1]_-;\-* #,##0.00\ [$€-1]_-;_-* &quot;-&quot;??\ [$€-1]_-"/>
    <numFmt numFmtId="171" formatCode="_(&quot;€&quot;* #,##0.00_);_(&quot;€&quot;* \(#,##0.00\);_(&quot;€&quot;* &quot;-&quot;??_);_(@_)"/>
    <numFmt numFmtId="172" formatCode="#,##0.000000"/>
  </numFmts>
  <fonts count="6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9"/>
      <name val="BMW Group Light"/>
    </font>
    <font>
      <sz val="8"/>
      <name val="BMW Group Light"/>
    </font>
    <font>
      <sz val="11"/>
      <name val="BMW Group Light"/>
    </font>
    <font>
      <b/>
      <sz val="9"/>
      <name val="BMW Group Light"/>
    </font>
    <font>
      <b/>
      <vertAlign val="subscript"/>
      <sz val="10"/>
      <name val="BMW Group Light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8.8000000000000007"/>
      <color theme="10"/>
      <name val="Calibri"/>
      <family val="2"/>
    </font>
    <font>
      <u/>
      <sz val="11"/>
      <color theme="10"/>
      <name val="Calibri"/>
      <family val="2"/>
    </font>
    <font>
      <sz val="11"/>
      <color rgb="FFFF0000"/>
      <name val="Calibri"/>
      <family val="2"/>
      <scheme val="minor"/>
    </font>
    <font>
      <b/>
      <sz val="20"/>
      <color theme="1"/>
      <name val="Arial"/>
      <family val="2"/>
    </font>
    <font>
      <sz val="14"/>
      <color theme="1"/>
      <name val="Arial"/>
      <family val="2"/>
    </font>
    <font>
      <sz val="9"/>
      <color rgb="FFFF0000"/>
      <name val="Arial"/>
      <family val="2"/>
    </font>
    <font>
      <sz val="12"/>
      <color theme="1"/>
      <name val="Arial"/>
      <family val="2"/>
    </font>
    <font>
      <sz val="8"/>
      <color theme="1"/>
      <name val="Arial"/>
      <family val="2"/>
    </font>
    <font>
      <b/>
      <sz val="14"/>
      <color theme="1"/>
      <name val="BMW Group Light"/>
    </font>
    <font>
      <b/>
      <sz val="20"/>
      <color theme="1"/>
      <name val="BMW Group Light"/>
    </font>
    <font>
      <sz val="11"/>
      <color theme="1"/>
      <name val="BMW Group Light"/>
    </font>
    <font>
      <u/>
      <sz val="14"/>
      <color theme="10"/>
      <name val="BMW Group Light"/>
    </font>
    <font>
      <sz val="12"/>
      <color theme="1"/>
      <name val="BMW Group Light"/>
    </font>
    <font>
      <sz val="14"/>
      <color theme="1"/>
      <name val="BMW Group Light"/>
    </font>
    <font>
      <sz val="8"/>
      <color theme="1"/>
      <name val="BMW Group Light"/>
    </font>
    <font>
      <sz val="9"/>
      <color rgb="FFFF0000"/>
      <name val="BMW Group Light"/>
    </font>
    <font>
      <b/>
      <sz val="9"/>
      <color theme="1"/>
      <name val="BMW Group Light"/>
    </font>
    <font>
      <sz val="9"/>
      <color theme="1"/>
      <name val="BMW Group Light"/>
    </font>
    <font>
      <i/>
      <sz val="10"/>
      <color theme="1"/>
      <name val="BMW Group Light"/>
    </font>
    <font>
      <b/>
      <sz val="11"/>
      <color theme="1"/>
      <name val="BMW Group Light"/>
    </font>
    <font>
      <u/>
      <sz val="8.8000000000000007"/>
      <color theme="10"/>
      <name val="BMW Group Light"/>
    </font>
    <font>
      <b/>
      <sz val="12"/>
      <color theme="1"/>
      <name val="BMW Group Light"/>
    </font>
    <font>
      <b/>
      <i/>
      <sz val="12"/>
      <color theme="1"/>
      <name val="BMW Group Light"/>
    </font>
    <font>
      <sz val="10"/>
      <color theme="1"/>
      <name val="BMW Group Light"/>
    </font>
    <font>
      <b/>
      <strike/>
      <sz val="11"/>
      <color rgb="FFFF0000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z val="11"/>
      <color rgb="FFFF0000"/>
      <name val="BMW Group Light"/>
    </font>
    <font>
      <sz val="11"/>
      <color theme="1" tint="4.9989318521683403E-2"/>
      <name val="BMW Group Light"/>
    </font>
    <font>
      <sz val="11"/>
      <color theme="0"/>
      <name val="BMW Group Light"/>
    </font>
    <font>
      <sz val="8"/>
      <color theme="0"/>
      <name val="BMW Group Light"/>
    </font>
    <font>
      <sz val="14"/>
      <color theme="1" tint="4.9989318521683403E-2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8"/>
      <color theme="1" tint="4.9989318521683403E-2"/>
      <name val="BMW Group Light"/>
    </font>
    <font>
      <b/>
      <u/>
      <sz val="14"/>
      <color rgb="FFFF0000"/>
      <name val="Calibri"/>
      <family val="2"/>
      <scheme val="minor"/>
    </font>
    <font>
      <b/>
      <sz val="9"/>
      <color theme="0"/>
      <name val="BMW Group Light"/>
    </font>
    <font>
      <b/>
      <sz val="11"/>
      <color theme="1" tint="4.9989318521683403E-2"/>
      <name val="Calibri"/>
      <family val="2"/>
      <scheme val="minor"/>
    </font>
    <font>
      <b/>
      <sz val="11"/>
      <color theme="1" tint="4.9989318521683403E-2"/>
      <name val="BMW Group Light"/>
    </font>
    <font>
      <sz val="20"/>
      <color theme="1" tint="4.9989318521683403E-2"/>
      <name val="Calibri"/>
      <family val="2"/>
      <scheme val="minor"/>
    </font>
    <font>
      <sz val="8"/>
      <color theme="1"/>
      <name val="BMWType V2 Light"/>
    </font>
    <font>
      <b/>
      <u/>
      <sz val="11"/>
      <color rgb="FFFF0000"/>
      <name val="Calibri"/>
      <family val="2"/>
      <scheme val="minor"/>
    </font>
    <font>
      <sz val="10"/>
      <name val="BMW Group Light"/>
    </font>
    <font>
      <sz val="10"/>
      <color theme="1"/>
      <name val="BMW Group Condensed"/>
      <family val="2"/>
    </font>
    <font>
      <b/>
      <sz val="10"/>
      <name val="BMW Group Light"/>
    </font>
    <font>
      <sz val="8.8000000000000007"/>
      <color theme="1"/>
      <name val="BMW Group Light"/>
    </font>
    <font>
      <sz val="8.8000000000000007"/>
      <name val="BMW Group Light"/>
    </font>
    <font>
      <b/>
      <sz val="1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vertAlign val="subscript"/>
      <sz val="10"/>
      <name val="Arial"/>
      <family val="2"/>
    </font>
    <font>
      <b/>
      <sz val="10"/>
      <name val="Symbol"/>
      <family val="1"/>
      <charset val="2"/>
    </font>
    <font>
      <sz val="9"/>
      <color rgb="FF0070C0"/>
      <name val="BMW Group Light"/>
    </font>
    <font>
      <b/>
      <sz val="8"/>
      <color theme="1"/>
      <name val="BMW Group Light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8C8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0B0F0"/>
        <bgColor indexed="64"/>
      </patternFill>
    </fill>
  </fills>
  <borders count="15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9" fontId="9" fillId="0" borderId="0" applyFont="0" applyFill="0" applyBorder="0" applyAlignment="0" applyProtection="0"/>
    <xf numFmtId="0" fontId="1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8" fillId="0" borderId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017">
    <xf numFmtId="0" fontId="0" fillId="0" borderId="0" xfId="0"/>
    <xf numFmtId="0" fontId="14" fillId="2" borderId="1" xfId="0" applyFont="1" applyFill="1" applyBorder="1" applyAlignment="1" applyProtection="1">
      <alignment horizontal="center"/>
    </xf>
    <xf numFmtId="0" fontId="14" fillId="2" borderId="2" xfId="0" applyFont="1" applyFill="1" applyBorder="1" applyAlignment="1" applyProtection="1">
      <alignment horizontal="center"/>
    </xf>
    <xf numFmtId="0" fontId="15" fillId="2" borderId="0" xfId="0" applyFont="1" applyFill="1" applyBorder="1" applyAlignment="1" applyProtection="1">
      <alignment horizontal="center"/>
    </xf>
    <xf numFmtId="0" fontId="15" fillId="2" borderId="3" xfId="0" applyFont="1" applyFill="1" applyBorder="1" applyAlignment="1" applyProtection="1">
      <alignment horizontal="center"/>
    </xf>
    <xf numFmtId="0" fontId="16" fillId="2" borderId="4" xfId="0" applyFont="1" applyFill="1" applyBorder="1" applyAlignment="1" applyProtection="1">
      <alignment horizontal="center"/>
    </xf>
    <xf numFmtId="0" fontId="16" fillId="2" borderId="5" xfId="0" applyFont="1" applyFill="1" applyBorder="1" applyAlignment="1" applyProtection="1">
      <alignment horizontal="center"/>
    </xf>
    <xf numFmtId="0" fontId="17" fillId="2" borderId="0" xfId="0" applyFont="1" applyFill="1" applyBorder="1" applyAlignment="1" applyProtection="1">
      <alignment horizontal="center"/>
    </xf>
    <xf numFmtId="0" fontId="0" fillId="0" borderId="0" xfId="0" applyAlignment="1">
      <alignment vertical="center"/>
    </xf>
    <xf numFmtId="0" fontId="14" fillId="2" borderId="6" xfId="0" applyFont="1" applyFill="1" applyBorder="1" applyAlignment="1" applyProtection="1">
      <alignment horizontal="left"/>
    </xf>
    <xf numFmtId="0" fontId="17" fillId="2" borderId="7" xfId="0" applyFont="1" applyFill="1" applyBorder="1" applyAlignment="1" applyProtection="1">
      <alignment horizontal="left"/>
    </xf>
    <xf numFmtId="0" fontId="18" fillId="2" borderId="8" xfId="0" applyFont="1" applyFill="1" applyBorder="1" applyAlignment="1" applyProtection="1">
      <alignment horizontal="left"/>
    </xf>
    <xf numFmtId="0" fontId="14" fillId="2" borderId="1" xfId="0" applyFont="1" applyFill="1" applyBorder="1" applyAlignment="1" applyProtection="1">
      <alignment horizontal="left"/>
    </xf>
    <xf numFmtId="0" fontId="17" fillId="2" borderId="0" xfId="0" applyFont="1" applyFill="1" applyBorder="1" applyAlignment="1" applyProtection="1">
      <alignment horizontal="left"/>
    </xf>
    <xf numFmtId="0" fontId="18" fillId="2" borderId="4" xfId="0" applyFont="1" applyFill="1" applyBorder="1" applyAlignment="1" applyProtection="1">
      <alignment horizontal="left"/>
    </xf>
    <xf numFmtId="0" fontId="15" fillId="2" borderId="0" xfId="0" applyFont="1" applyFill="1" applyBorder="1" applyAlignment="1" applyProtection="1">
      <alignment horizontal="left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18" fillId="0" borderId="4" xfId="0" applyFont="1" applyFill="1" applyBorder="1" applyAlignment="1" applyProtection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0" xfId="0" applyFill="1" applyBorder="1"/>
    <xf numFmtId="0" fontId="10" fillId="0" borderId="17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10" fillId="0" borderId="0" xfId="0" applyFont="1" applyAlignment="1">
      <alignment vertical="center"/>
    </xf>
    <xf numFmtId="0" fontId="0" fillId="0" borderId="19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20" xfId="0" applyBorder="1"/>
    <xf numFmtId="0" fontId="0" fillId="0" borderId="18" xfId="0" applyBorder="1"/>
    <xf numFmtId="0" fontId="10" fillId="0" borderId="21" xfId="0" applyFont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0" fillId="0" borderId="15" xfId="0" applyBorder="1" applyAlignment="1">
      <alignment wrapText="1"/>
    </xf>
    <xf numFmtId="14" fontId="0" fillId="0" borderId="0" xfId="0" applyNumberFormat="1"/>
    <xf numFmtId="0" fontId="10" fillId="0" borderId="23" xfId="0" applyFont="1" applyBorder="1" applyAlignment="1">
      <alignment vertical="center" wrapText="1"/>
    </xf>
    <xf numFmtId="2" fontId="0" fillId="0" borderId="20" xfId="0" applyNumberFormat="1" applyBorder="1"/>
    <xf numFmtId="0" fontId="0" fillId="0" borderId="12" xfId="0" applyFill="1" applyBorder="1"/>
    <xf numFmtId="0" fontId="10" fillId="0" borderId="23" xfId="0" applyFont="1" applyBorder="1" applyAlignment="1">
      <alignment horizontal="center" vertical="center" wrapText="1"/>
    </xf>
    <xf numFmtId="0" fontId="10" fillId="0" borderId="16" xfId="0" applyFont="1" applyBorder="1" applyAlignment="1">
      <alignment vertical="center" wrapText="1"/>
    </xf>
    <xf numFmtId="0" fontId="0" fillId="0" borderId="19" xfId="0" applyBorder="1"/>
    <xf numFmtId="0" fontId="0" fillId="0" borderId="13" xfId="0" applyFill="1" applyBorder="1"/>
    <xf numFmtId="168" fontId="9" fillId="0" borderId="17" xfId="9" applyNumberFormat="1" applyFont="1" applyFill="1" applyBorder="1"/>
    <xf numFmtId="168" fontId="9" fillId="0" borderId="18" xfId="9" applyNumberFormat="1" applyFont="1" applyFill="1" applyBorder="1"/>
    <xf numFmtId="168" fontId="9" fillId="0" borderId="9" xfId="9" applyNumberFormat="1" applyFont="1" applyFill="1" applyBorder="1"/>
    <xf numFmtId="0" fontId="0" fillId="0" borderId="0" xfId="0"/>
    <xf numFmtId="0" fontId="10" fillId="0" borderId="21" xfId="0" applyFont="1" applyBorder="1" applyAlignment="1">
      <alignment vertical="center"/>
    </xf>
    <xf numFmtId="14" fontId="0" fillId="0" borderId="17" xfId="0" applyNumberFormat="1" applyBorder="1"/>
    <xf numFmtId="14" fontId="0" fillId="0" borderId="14" xfId="0" applyNumberFormat="1" applyBorder="1"/>
    <xf numFmtId="2" fontId="0" fillId="0" borderId="12" xfId="0" applyNumberFormat="1" applyFill="1" applyBorder="1"/>
    <xf numFmtId="168" fontId="9" fillId="0" borderId="15" xfId="9" applyNumberFormat="1" applyFont="1" applyFill="1" applyBorder="1"/>
    <xf numFmtId="168" fontId="9" fillId="0" borderId="14" xfId="9" applyNumberFormat="1" applyFont="1" applyFill="1" applyBorder="1"/>
    <xf numFmtId="168" fontId="9" fillId="0" borderId="11" xfId="9" applyNumberFormat="1" applyFont="1" applyFill="1" applyBorder="1"/>
    <xf numFmtId="0" fontId="10" fillId="0" borderId="23" xfId="0" applyFont="1" applyBorder="1" applyAlignment="1">
      <alignment vertical="center"/>
    </xf>
    <xf numFmtId="0" fontId="0" fillId="0" borderId="23" xfId="0" applyBorder="1"/>
    <xf numFmtId="0" fontId="0" fillId="0" borderId="22" xfId="0" applyBorder="1" applyAlignment="1">
      <alignment wrapText="1"/>
    </xf>
    <xf numFmtId="14" fontId="0" fillId="0" borderId="14" xfId="0" applyNumberFormat="1" applyBorder="1"/>
    <xf numFmtId="0" fontId="19" fillId="2" borderId="0" xfId="0" applyFont="1" applyFill="1" applyBorder="1" applyAlignment="1" applyProtection="1">
      <alignment horizontal="left"/>
    </xf>
    <xf numFmtId="0" fontId="20" fillId="2" borderId="6" xfId="0" applyFont="1" applyFill="1" applyBorder="1" applyAlignment="1" applyProtection="1">
      <alignment horizontal="left"/>
    </xf>
    <xf numFmtId="0" fontId="20" fillId="2" borderId="1" xfId="0" applyFont="1" applyFill="1" applyBorder="1" applyAlignment="1" applyProtection="1">
      <alignment horizontal="center"/>
    </xf>
    <xf numFmtId="0" fontId="19" fillId="2" borderId="1" xfId="0" applyFont="1" applyFill="1" applyBorder="1" applyAlignment="1" applyProtection="1">
      <alignment horizontal="left"/>
    </xf>
    <xf numFmtId="0" fontId="20" fillId="2" borderId="1" xfId="0" applyFont="1" applyFill="1" applyBorder="1" applyAlignment="1" applyProtection="1">
      <alignment horizontal="left"/>
    </xf>
    <xf numFmtId="14" fontId="0" fillId="0" borderId="14" xfId="0" applyNumberFormat="1" applyBorder="1"/>
    <xf numFmtId="0" fontId="0" fillId="0" borderId="15" xfId="0" applyBorder="1"/>
    <xf numFmtId="0" fontId="0" fillId="0" borderId="15" xfId="0" applyBorder="1" applyAlignment="1">
      <alignment wrapText="1"/>
    </xf>
    <xf numFmtId="14" fontId="0" fillId="0" borderId="14" xfId="0" applyNumberFormat="1" applyBorder="1"/>
    <xf numFmtId="0" fontId="21" fillId="0" borderId="0" xfId="0" applyFont="1" applyProtection="1"/>
    <xf numFmtId="0" fontId="21" fillId="0" borderId="1" xfId="0" applyFont="1" applyBorder="1" applyProtection="1"/>
    <xf numFmtId="0" fontId="21" fillId="0" borderId="0" xfId="0" applyFont="1" applyBorder="1" applyProtection="1"/>
    <xf numFmtId="0" fontId="21" fillId="0" borderId="24" xfId="0" applyFont="1" applyBorder="1" applyProtection="1"/>
    <xf numFmtId="0" fontId="21" fillId="0" borderId="25" xfId="0" applyFont="1" applyBorder="1" applyProtection="1"/>
    <xf numFmtId="0" fontId="21" fillId="0" borderId="26" xfId="0" applyFont="1" applyBorder="1" applyProtection="1"/>
    <xf numFmtId="0" fontId="20" fillId="2" borderId="0" xfId="0" applyFont="1" applyFill="1" applyBorder="1" applyAlignment="1" applyProtection="1">
      <alignment horizontal="center"/>
    </xf>
    <xf numFmtId="0" fontId="22" fillId="2" borderId="0" xfId="5" applyFont="1" applyFill="1" applyBorder="1" applyAlignment="1" applyProtection="1">
      <alignment horizontal="left"/>
    </xf>
    <xf numFmtId="0" fontId="20" fillId="2" borderId="2" xfId="0" applyFont="1" applyFill="1" applyBorder="1" applyAlignment="1" applyProtection="1">
      <alignment horizontal="center"/>
    </xf>
    <xf numFmtId="0" fontId="23" fillId="2" borderId="7" xfId="0" applyFont="1" applyFill="1" applyBorder="1" applyAlignment="1" applyProtection="1">
      <alignment horizontal="left"/>
    </xf>
    <xf numFmtId="0" fontId="23" fillId="2" borderId="0" xfId="0" applyFont="1" applyFill="1" applyBorder="1" applyAlignment="1" applyProtection="1">
      <alignment horizontal="left"/>
    </xf>
    <xf numFmtId="0" fontId="23" fillId="2" borderId="0" xfId="0" applyFont="1" applyFill="1" applyBorder="1" applyAlignment="1" applyProtection="1">
      <alignment horizontal="center"/>
    </xf>
    <xf numFmtId="0" fontId="24" fillId="2" borderId="7" xfId="0" applyFont="1" applyFill="1" applyBorder="1" applyAlignment="1" applyProtection="1">
      <alignment horizontal="left"/>
    </xf>
    <xf numFmtId="0" fontId="24" fillId="2" borderId="0" xfId="0" applyFont="1" applyFill="1" applyBorder="1" applyAlignment="1" applyProtection="1">
      <alignment horizontal="center"/>
    </xf>
    <xf numFmtId="0" fontId="24" fillId="2" borderId="3" xfId="0" applyFont="1" applyFill="1" applyBorder="1" applyAlignment="1" applyProtection="1">
      <alignment horizontal="center"/>
    </xf>
    <xf numFmtId="0" fontId="25" fillId="2" borderId="4" xfId="0" applyFont="1" applyFill="1" applyBorder="1" applyAlignment="1" applyProtection="1">
      <alignment horizontal="center"/>
    </xf>
    <xf numFmtId="0" fontId="26" fillId="2" borderId="4" xfId="0" applyFont="1" applyFill="1" applyBorder="1" applyAlignment="1" applyProtection="1">
      <alignment horizontal="center"/>
    </xf>
    <xf numFmtId="0" fontId="26" fillId="2" borderId="5" xfId="0" applyFont="1" applyFill="1" applyBorder="1" applyAlignment="1" applyProtection="1">
      <alignment horizontal="center"/>
    </xf>
    <xf numFmtId="49" fontId="27" fillId="2" borderId="27" xfId="0" applyNumberFormat="1" applyFont="1" applyFill="1" applyBorder="1" applyAlignment="1" applyProtection="1">
      <alignment horizontal="left" vertical="center"/>
    </xf>
    <xf numFmtId="49" fontId="27" fillId="2" borderId="24" xfId="0" applyNumberFormat="1" applyFont="1" applyFill="1" applyBorder="1" applyAlignment="1" applyProtection="1">
      <alignment horizontal="left" vertical="center"/>
    </xf>
    <xf numFmtId="49" fontId="27" fillId="2" borderId="24" xfId="0" applyNumberFormat="1" applyFont="1" applyFill="1" applyBorder="1" applyAlignment="1" applyProtection="1">
      <alignment vertical="center"/>
    </xf>
    <xf numFmtId="49" fontId="28" fillId="0" borderId="24" xfId="0" applyNumberFormat="1" applyFont="1" applyFill="1" applyBorder="1" applyAlignment="1" applyProtection="1">
      <alignment horizontal="left" vertical="center"/>
    </xf>
    <xf numFmtId="49" fontId="27" fillId="2" borderId="28" xfId="0" applyNumberFormat="1" applyFont="1" applyFill="1" applyBorder="1" applyAlignment="1" applyProtection="1">
      <alignment vertical="center"/>
    </xf>
    <xf numFmtId="49" fontId="27" fillId="2" borderId="28" xfId="0" applyNumberFormat="1" applyFont="1" applyFill="1" applyBorder="1" applyAlignment="1" applyProtection="1">
      <alignment horizontal="left" vertical="center"/>
    </xf>
    <xf numFmtId="49" fontId="27" fillId="2" borderId="25" xfId="0" applyNumberFormat="1" applyFont="1" applyFill="1" applyBorder="1" applyAlignment="1" applyProtection="1">
      <alignment horizontal="left" vertical="center"/>
    </xf>
    <xf numFmtId="49" fontId="27" fillId="2" borderId="25" xfId="0" applyNumberFormat="1" applyFont="1" applyFill="1" applyBorder="1" applyAlignment="1" applyProtection="1">
      <alignment vertical="center"/>
    </xf>
    <xf numFmtId="49" fontId="28" fillId="0" borderId="25" xfId="0" applyNumberFormat="1" applyFont="1" applyFill="1" applyBorder="1" applyAlignment="1" applyProtection="1">
      <alignment horizontal="left" vertical="center"/>
    </xf>
    <xf numFmtId="49" fontId="27" fillId="2" borderId="29" xfId="0" applyNumberFormat="1" applyFont="1" applyFill="1" applyBorder="1" applyAlignment="1" applyProtection="1">
      <alignment vertical="center"/>
    </xf>
    <xf numFmtId="49" fontId="27" fillId="2" borderId="8" xfId="0" applyNumberFormat="1" applyFont="1" applyFill="1" applyBorder="1" applyAlignment="1" applyProtection="1">
      <alignment horizontal="left" vertical="center"/>
    </xf>
    <xf numFmtId="49" fontId="27" fillId="2" borderId="4" xfId="0" applyNumberFormat="1" applyFont="1" applyFill="1" applyBorder="1" applyAlignment="1" applyProtection="1">
      <alignment horizontal="left" vertical="center"/>
    </xf>
    <xf numFmtId="49" fontId="27" fillId="2" borderId="4" xfId="0" applyNumberFormat="1" applyFont="1" applyFill="1" applyBorder="1" applyAlignment="1" applyProtection="1">
      <alignment vertical="center"/>
    </xf>
    <xf numFmtId="49" fontId="28" fillId="0" borderId="26" xfId="0" applyNumberFormat="1" applyFont="1" applyFill="1" applyBorder="1" applyAlignment="1" applyProtection="1">
      <alignment horizontal="left" vertical="center"/>
    </xf>
    <xf numFmtId="0" fontId="21" fillId="2" borderId="0" xfId="0" applyFont="1" applyFill="1" applyProtection="1"/>
    <xf numFmtId="2" fontId="27" fillId="2" borderId="30" xfId="0" applyNumberFormat="1" applyFont="1" applyFill="1" applyBorder="1" applyAlignment="1" applyProtection="1">
      <alignment horizontal="center" vertical="center"/>
    </xf>
    <xf numFmtId="2" fontId="27" fillId="2" borderId="31" xfId="0" applyNumberFormat="1" applyFont="1" applyFill="1" applyBorder="1" applyAlignment="1" applyProtection="1">
      <alignment horizontal="center" vertical="center"/>
    </xf>
    <xf numFmtId="2" fontId="27" fillId="2" borderId="32" xfId="0" applyNumberFormat="1" applyFont="1" applyFill="1" applyBorder="1" applyAlignment="1" applyProtection="1">
      <alignment horizontal="center" vertical="center"/>
    </xf>
    <xf numFmtId="2" fontId="27" fillId="2" borderId="30" xfId="0" applyNumberFormat="1" applyFont="1" applyFill="1" applyBorder="1" applyAlignment="1" applyProtection="1">
      <alignment horizontal="left" vertical="center"/>
    </xf>
    <xf numFmtId="0" fontId="27" fillId="2" borderId="31" xfId="0" applyFont="1" applyFill="1" applyBorder="1" applyAlignment="1" applyProtection="1">
      <alignment vertical="center"/>
    </xf>
    <xf numFmtId="2" fontId="27" fillId="2" borderId="30" xfId="0" applyNumberFormat="1" applyFont="1" applyFill="1" applyBorder="1" applyAlignment="1" applyProtection="1">
      <alignment vertical="center"/>
    </xf>
    <xf numFmtId="2" fontId="27" fillId="2" borderId="31" xfId="0" applyNumberFormat="1" applyFont="1" applyFill="1" applyBorder="1" applyAlignment="1" applyProtection="1">
      <alignment vertical="center"/>
    </xf>
    <xf numFmtId="0" fontId="27" fillId="2" borderId="31" xfId="0" applyFont="1" applyFill="1" applyBorder="1" applyAlignment="1" applyProtection="1">
      <alignment horizontal="center" vertical="center"/>
    </xf>
    <xf numFmtId="0" fontId="27" fillId="2" borderId="32" xfId="0" applyFont="1" applyFill="1" applyBorder="1" applyAlignment="1" applyProtection="1">
      <alignment vertical="center"/>
    </xf>
    <xf numFmtId="0" fontId="21" fillId="2" borderId="0" xfId="0" applyFont="1" applyFill="1" applyAlignment="1" applyProtection="1">
      <alignment vertical="center"/>
    </xf>
    <xf numFmtId="0" fontId="27" fillId="2" borderId="30" xfId="0" applyFont="1" applyFill="1" applyBorder="1" applyAlignment="1" applyProtection="1">
      <alignment horizontal="left" vertical="center"/>
    </xf>
    <xf numFmtId="0" fontId="27" fillId="2" borderId="32" xfId="0" applyFont="1" applyFill="1" applyBorder="1" applyAlignment="1" applyProtection="1">
      <alignment horizontal="center" vertical="center"/>
    </xf>
    <xf numFmtId="0" fontId="27" fillId="2" borderId="33" xfId="0" applyFont="1" applyFill="1" applyBorder="1" applyAlignment="1" applyProtection="1">
      <alignment horizontal="center" textRotation="90" wrapText="1"/>
    </xf>
    <xf numFmtId="0" fontId="27" fillId="2" borderId="34" xfId="0" applyFont="1" applyFill="1" applyBorder="1" applyAlignment="1" applyProtection="1">
      <alignment horizontal="center" textRotation="90" wrapText="1"/>
    </xf>
    <xf numFmtId="0" fontId="27" fillId="2" borderId="35" xfId="0" applyFont="1" applyFill="1" applyBorder="1" applyAlignment="1" applyProtection="1">
      <alignment horizontal="center" textRotation="90" wrapText="1"/>
    </xf>
    <xf numFmtId="2" fontId="27" fillId="2" borderId="33" xfId="0" applyNumberFormat="1" applyFont="1" applyFill="1" applyBorder="1" applyAlignment="1" applyProtection="1">
      <alignment horizontal="center" textRotation="90" wrapText="1"/>
    </xf>
    <xf numFmtId="2" fontId="27" fillId="2" borderId="37" xfId="0" applyNumberFormat="1" applyFont="1" applyFill="1" applyBorder="1" applyAlignment="1" applyProtection="1">
      <alignment horizontal="center" textRotation="90" wrapText="1"/>
    </xf>
    <xf numFmtId="2" fontId="27" fillId="2" borderId="38" xfId="0" applyNumberFormat="1" applyFont="1" applyFill="1" applyBorder="1" applyAlignment="1" applyProtection="1">
      <alignment horizontal="center" textRotation="90" wrapText="1"/>
    </xf>
    <xf numFmtId="0" fontId="27" fillId="2" borderId="37" xfId="0" applyFont="1" applyFill="1" applyBorder="1" applyAlignment="1" applyProtection="1">
      <alignment horizontal="center" textRotation="90" wrapText="1"/>
    </xf>
    <xf numFmtId="0" fontId="27" fillId="2" borderId="38" xfId="0" applyFont="1" applyFill="1" applyBorder="1" applyAlignment="1" applyProtection="1">
      <alignment horizontal="center" textRotation="90" wrapText="1"/>
    </xf>
    <xf numFmtId="2" fontId="27" fillId="2" borderId="34" xfId="0" applyNumberFormat="1" applyFont="1" applyFill="1" applyBorder="1" applyAlignment="1" applyProtection="1">
      <alignment horizontal="center" textRotation="90" wrapText="1"/>
    </xf>
    <xf numFmtId="0" fontId="27" fillId="2" borderId="39" xfId="0" applyFont="1" applyFill="1" applyBorder="1" applyAlignment="1" applyProtection="1">
      <alignment horizontal="center" textRotation="90" wrapText="1"/>
    </xf>
    <xf numFmtId="0" fontId="27" fillId="2" borderId="36" xfId="0" applyFont="1" applyFill="1" applyBorder="1" applyAlignment="1" applyProtection="1">
      <alignment horizontal="center" textRotation="90" wrapText="1"/>
    </xf>
    <xf numFmtId="0" fontId="27" fillId="2" borderId="4" xfId="0" applyFont="1" applyFill="1" applyBorder="1" applyAlignment="1" applyProtection="1">
      <alignment horizontal="center" textRotation="90" wrapText="1"/>
    </xf>
    <xf numFmtId="0" fontId="27" fillId="2" borderId="40" xfId="0" applyFont="1" applyFill="1" applyBorder="1" applyAlignment="1" applyProtection="1">
      <alignment horizontal="center" textRotation="90" wrapText="1"/>
    </xf>
    <xf numFmtId="0" fontId="27" fillId="2" borderId="0" xfId="0" applyFont="1" applyFill="1" applyAlignment="1" applyProtection="1">
      <alignment horizontal="center" textRotation="90" wrapText="1"/>
    </xf>
    <xf numFmtId="0" fontId="21" fillId="2" borderId="0" xfId="0" applyFont="1" applyFill="1" applyAlignment="1" applyProtection="1">
      <alignment vertical="center"/>
      <protection locked="0"/>
    </xf>
    <xf numFmtId="2" fontId="25" fillId="3" borderId="41" xfId="0" applyNumberFormat="1" applyFont="1" applyFill="1" applyBorder="1" applyAlignment="1" applyProtection="1">
      <alignment horizontal="center" vertical="center"/>
    </xf>
    <xf numFmtId="0" fontId="21" fillId="2" borderId="0" xfId="0" applyFont="1" applyFill="1" applyProtection="1">
      <protection locked="0"/>
    </xf>
    <xf numFmtId="0" fontId="21" fillId="0" borderId="0" xfId="0" applyFont="1" applyFill="1" applyBorder="1" applyProtection="1"/>
    <xf numFmtId="0" fontId="21" fillId="0" borderId="0" xfId="0" applyNumberFormat="1" applyFont="1" applyFill="1" applyBorder="1" applyProtection="1"/>
    <xf numFmtId="0" fontId="23" fillId="0" borderId="0" xfId="0" applyNumberFormat="1" applyFont="1" applyFill="1" applyBorder="1" applyAlignment="1" applyProtection="1">
      <alignment horizontal="center" vertical="center"/>
    </xf>
    <xf numFmtId="0" fontId="25" fillId="0" borderId="0" xfId="0" applyNumberFormat="1" applyFont="1" applyFill="1" applyBorder="1" applyAlignment="1" applyProtection="1">
      <alignment horizontal="center" vertical="center"/>
    </xf>
    <xf numFmtId="0" fontId="25" fillId="0" borderId="0" xfId="0" applyFont="1" applyFill="1" applyBorder="1" applyAlignment="1" applyProtection="1">
      <alignment horizontal="center" vertical="center"/>
    </xf>
    <xf numFmtId="166" fontId="25" fillId="0" borderId="0" xfId="0" applyNumberFormat="1" applyFont="1" applyFill="1" applyBorder="1" applyAlignment="1" applyProtection="1">
      <alignment horizontal="center" vertical="center"/>
    </xf>
    <xf numFmtId="164" fontId="25" fillId="0" borderId="0" xfId="0" applyNumberFormat="1" applyFont="1" applyFill="1" applyBorder="1" applyAlignment="1" applyProtection="1">
      <alignment horizontal="center" vertical="center"/>
    </xf>
    <xf numFmtId="0" fontId="23" fillId="0" borderId="6" xfId="0" applyFont="1" applyFill="1" applyBorder="1" applyAlignment="1" applyProtection="1">
      <alignment horizontal="left" vertical="center"/>
    </xf>
    <xf numFmtId="0" fontId="21" fillId="0" borderId="1" xfId="0" applyFont="1" applyFill="1" applyBorder="1" applyProtection="1"/>
    <xf numFmtId="0" fontId="23" fillId="0" borderId="1" xfId="0" applyFont="1" applyFill="1" applyBorder="1" applyAlignment="1" applyProtection="1">
      <alignment horizontal="center" vertical="center"/>
    </xf>
    <xf numFmtId="0" fontId="25" fillId="0" borderId="1" xfId="0" applyFont="1" applyFill="1" applyBorder="1" applyAlignment="1" applyProtection="1">
      <alignment horizontal="center" vertical="center"/>
    </xf>
    <xf numFmtId="0" fontId="28" fillId="0" borderId="24" xfId="0" applyFont="1" applyFill="1" applyBorder="1" applyAlignment="1" applyProtection="1">
      <alignment horizontal="center" vertical="center"/>
    </xf>
    <xf numFmtId="0" fontId="28" fillId="0" borderId="42" xfId="0" applyFont="1" applyFill="1" applyBorder="1" applyAlignment="1" applyProtection="1">
      <alignment horizontal="center" vertical="center"/>
    </xf>
    <xf numFmtId="166" fontId="28" fillId="0" borderId="42" xfId="0" applyNumberFormat="1" applyFont="1" applyFill="1" applyBorder="1" applyAlignment="1" applyProtection="1">
      <alignment horizontal="right" vertical="center"/>
    </xf>
    <xf numFmtId="0" fontId="23" fillId="0" borderId="7" xfId="0" applyFont="1" applyFill="1" applyBorder="1" applyAlignment="1" applyProtection="1">
      <alignment horizontal="left" vertical="center"/>
    </xf>
    <xf numFmtId="0" fontId="21" fillId="2" borderId="0" xfId="0" applyFont="1" applyFill="1" applyBorder="1" applyProtection="1"/>
    <xf numFmtId="0" fontId="23" fillId="0" borderId="0" xfId="0" applyFont="1" applyFill="1" applyBorder="1" applyAlignment="1" applyProtection="1">
      <alignment horizontal="center"/>
    </xf>
    <xf numFmtId="0" fontId="21" fillId="2" borderId="0" xfId="0" applyFont="1" applyFill="1" applyBorder="1" applyAlignment="1" applyProtection="1">
      <alignment horizontal="center"/>
    </xf>
    <xf numFmtId="0" fontId="21" fillId="2" borderId="0" xfId="0" applyFont="1" applyFill="1" applyBorder="1" applyAlignment="1" applyProtection="1">
      <alignment horizontal="right" vertical="center"/>
    </xf>
    <xf numFmtId="0" fontId="28" fillId="0" borderId="43" xfId="0" applyFont="1" applyFill="1" applyBorder="1" applyAlignment="1" applyProtection="1">
      <alignment horizontal="center" vertical="center"/>
    </xf>
    <xf numFmtId="2" fontId="25" fillId="0" borderId="0" xfId="0" applyNumberFormat="1" applyFont="1" applyFill="1" applyBorder="1" applyAlignment="1" applyProtection="1">
      <alignment horizontal="center" vertical="center"/>
    </xf>
    <xf numFmtId="0" fontId="23" fillId="0" borderId="7" xfId="0" applyFont="1" applyFill="1" applyBorder="1" applyAlignment="1" applyProtection="1">
      <alignment horizontal="left"/>
    </xf>
    <xf numFmtId="0" fontId="21" fillId="0" borderId="0" xfId="0" applyFont="1" applyFill="1" applyBorder="1" applyAlignment="1" applyProtection="1">
      <alignment horizontal="center"/>
    </xf>
    <xf numFmtId="0" fontId="21" fillId="0" borderId="0" xfId="0" applyFont="1" applyFill="1" applyBorder="1" applyAlignment="1" applyProtection="1">
      <alignment horizontal="center" vertical="center"/>
    </xf>
    <xf numFmtId="0" fontId="28" fillId="0" borderId="25" xfId="0" applyFont="1" applyFill="1" applyBorder="1" applyAlignment="1" applyProtection="1">
      <alignment horizontal="center" vertical="center"/>
    </xf>
    <xf numFmtId="0" fontId="29" fillId="0" borderId="8" xfId="0" applyFont="1" applyFill="1" applyBorder="1" applyAlignment="1" applyProtection="1">
      <alignment horizontal="left" vertical="top"/>
    </xf>
    <xf numFmtId="0" fontId="21" fillId="2" borderId="4" xfId="0" applyFont="1" applyFill="1" applyBorder="1" applyProtection="1"/>
    <xf numFmtId="0" fontId="23" fillId="0" borderId="4" xfId="0" applyFont="1" applyFill="1" applyBorder="1" applyAlignment="1" applyProtection="1">
      <alignment horizontal="center"/>
    </xf>
    <xf numFmtId="0" fontId="21" fillId="0" borderId="4" xfId="0" applyFont="1" applyFill="1" applyBorder="1" applyAlignment="1" applyProtection="1">
      <alignment horizontal="center"/>
    </xf>
    <xf numFmtId="0" fontId="21" fillId="0" borderId="4" xfId="0" applyFont="1" applyFill="1" applyBorder="1" applyAlignment="1" applyProtection="1">
      <alignment horizontal="center" vertical="center"/>
    </xf>
    <xf numFmtId="0" fontId="28" fillId="0" borderId="26" xfId="0" applyFont="1" applyFill="1" applyBorder="1" applyAlignment="1" applyProtection="1">
      <alignment horizontal="center" vertical="center"/>
    </xf>
    <xf numFmtId="0" fontId="21" fillId="0" borderId="4" xfId="0" applyFont="1" applyBorder="1" applyProtection="1"/>
    <xf numFmtId="0" fontId="27" fillId="2" borderId="24" xfId="0" applyFont="1" applyFill="1" applyBorder="1" applyAlignment="1" applyProtection="1">
      <alignment vertical="center"/>
    </xf>
    <xf numFmtId="0" fontId="28" fillId="2" borderId="24" xfId="0" applyFont="1" applyFill="1" applyBorder="1" applyAlignment="1" applyProtection="1">
      <alignment horizontal="left" vertical="center"/>
    </xf>
    <xf numFmtId="0" fontId="27" fillId="2" borderId="28" xfId="0" applyFont="1" applyFill="1" applyBorder="1" applyAlignment="1" applyProtection="1">
      <alignment vertical="center"/>
    </xf>
    <xf numFmtId="0" fontId="27" fillId="2" borderId="25" xfId="0" applyFont="1" applyFill="1" applyBorder="1" applyAlignment="1" applyProtection="1">
      <alignment vertical="center"/>
    </xf>
    <xf numFmtId="0" fontId="28" fillId="2" borderId="25" xfId="0" applyFont="1" applyFill="1" applyBorder="1" applyAlignment="1" applyProtection="1">
      <alignment horizontal="left" vertical="center"/>
    </xf>
    <xf numFmtId="0" fontId="27" fillId="2" borderId="8" xfId="0" applyFont="1" applyFill="1" applyBorder="1" applyAlignment="1" applyProtection="1">
      <alignment vertical="center"/>
    </xf>
    <xf numFmtId="0" fontId="27" fillId="2" borderId="4" xfId="0" applyFont="1" applyFill="1" applyBorder="1" applyAlignment="1" applyProtection="1">
      <alignment vertical="center"/>
    </xf>
    <xf numFmtId="0" fontId="27" fillId="2" borderId="8" xfId="0" applyFont="1" applyFill="1" applyBorder="1" applyAlignment="1" applyProtection="1">
      <alignment horizontal="left" vertical="center"/>
    </xf>
    <xf numFmtId="0" fontId="28" fillId="2" borderId="26" xfId="0" applyFont="1" applyFill="1" applyBorder="1" applyAlignment="1" applyProtection="1">
      <alignment horizontal="left" vertical="center"/>
    </xf>
    <xf numFmtId="0" fontId="30" fillId="2" borderId="0" xfId="0" applyFont="1" applyFill="1" applyProtection="1"/>
    <xf numFmtId="0" fontId="27" fillId="2" borderId="30" xfId="0" applyFont="1" applyFill="1" applyBorder="1" applyAlignment="1" applyProtection="1">
      <alignment horizontal="center" vertical="center"/>
    </xf>
    <xf numFmtId="0" fontId="27" fillId="2" borderId="31" xfId="0" applyFont="1" applyFill="1" applyBorder="1" applyAlignment="1" applyProtection="1">
      <alignment horizontal="left" vertical="center"/>
    </xf>
    <xf numFmtId="0" fontId="27" fillId="2" borderId="44" xfId="0" applyFont="1" applyFill="1" applyBorder="1" applyAlignment="1" applyProtection="1">
      <alignment horizontal="center" textRotation="90" wrapText="1"/>
    </xf>
    <xf numFmtId="164" fontId="25" fillId="0" borderId="1" xfId="0" applyNumberFormat="1" applyFont="1" applyFill="1" applyBorder="1" applyAlignment="1" applyProtection="1">
      <alignment horizontal="center" vertical="center"/>
    </xf>
    <xf numFmtId="0" fontId="21" fillId="0" borderId="0" xfId="0" applyFont="1" applyFill="1" applyBorder="1" applyAlignment="1" applyProtection="1">
      <alignment vertical="center"/>
    </xf>
    <xf numFmtId="0" fontId="21" fillId="0" borderId="0" xfId="0" applyFont="1" applyFill="1" applyBorder="1" applyAlignment="1" applyProtection="1">
      <alignment horizontal="right" vertical="center"/>
    </xf>
    <xf numFmtId="0" fontId="21" fillId="0" borderId="4" xfId="0" applyFont="1" applyFill="1" applyBorder="1" applyAlignment="1" applyProtection="1">
      <alignment vertical="center"/>
    </xf>
    <xf numFmtId="0" fontId="21" fillId="2" borderId="1" xfId="0" applyFont="1" applyFill="1" applyBorder="1" applyAlignment="1" applyProtection="1">
      <alignment vertical="center"/>
    </xf>
    <xf numFmtId="2" fontId="27" fillId="4" borderId="35" xfId="0" applyNumberFormat="1" applyFont="1" applyFill="1" applyBorder="1" applyAlignment="1" applyProtection="1">
      <alignment horizontal="center" textRotation="90" wrapText="1"/>
    </xf>
    <xf numFmtId="14" fontId="0" fillId="0" borderId="9" xfId="0" applyNumberFormat="1" applyBorder="1"/>
    <xf numFmtId="0" fontId="0" fillId="0" borderId="11" xfId="0" applyBorder="1" applyAlignment="1">
      <alignment wrapText="1"/>
    </xf>
    <xf numFmtId="0" fontId="23" fillId="2" borderId="3" xfId="0" applyFont="1" applyFill="1" applyBorder="1" applyAlignment="1" applyProtection="1">
      <alignment horizontal="center"/>
    </xf>
    <xf numFmtId="0" fontId="24" fillId="2" borderId="0" xfId="0" applyFont="1" applyFill="1" applyBorder="1" applyAlignment="1" applyProtection="1">
      <alignment horizontal="left"/>
    </xf>
    <xf numFmtId="0" fontId="25" fillId="2" borderId="5" xfId="0" applyFont="1" applyFill="1" applyBorder="1" applyAlignment="1" applyProtection="1">
      <alignment horizontal="center"/>
    </xf>
    <xf numFmtId="0" fontId="26" fillId="2" borderId="4" xfId="0" applyFont="1" applyFill="1" applyBorder="1" applyAlignment="1" applyProtection="1">
      <alignment horizontal="left"/>
    </xf>
    <xf numFmtId="0" fontId="27" fillId="2" borderId="27" xfId="0" applyFont="1" applyFill="1" applyBorder="1" applyAlignment="1" applyProtection="1">
      <alignment vertical="center"/>
    </xf>
    <xf numFmtId="0" fontId="27" fillId="2" borderId="4" xfId="0" applyFont="1" applyFill="1" applyBorder="1" applyAlignment="1" applyProtection="1">
      <alignment horizontal="left" vertical="center"/>
    </xf>
    <xf numFmtId="0" fontId="28" fillId="2" borderId="0" xfId="0" applyNumberFormat="1" applyFont="1" applyFill="1" applyAlignment="1" applyProtection="1"/>
    <xf numFmtId="0" fontId="28" fillId="0" borderId="0" xfId="0" applyNumberFormat="1" applyFont="1" applyFill="1" applyBorder="1" applyAlignment="1" applyProtection="1"/>
    <xf numFmtId="0" fontId="28" fillId="2" borderId="0" xfId="0" applyNumberFormat="1" applyFont="1" applyFill="1" applyProtection="1"/>
    <xf numFmtId="0" fontId="28" fillId="2" borderId="0" xfId="0" applyFont="1" applyFill="1" applyBorder="1" applyAlignment="1" applyProtection="1">
      <alignment vertical="center"/>
    </xf>
    <xf numFmtId="0" fontId="32" fillId="2" borderId="30" xfId="0" applyFont="1" applyFill="1" applyBorder="1" applyAlignment="1" applyProtection="1">
      <alignment horizontal="left" vertical="center"/>
    </xf>
    <xf numFmtId="0" fontId="32" fillId="2" borderId="31" xfId="0" applyFont="1" applyFill="1" applyBorder="1" applyAlignment="1" applyProtection="1">
      <alignment horizontal="left" vertical="center"/>
    </xf>
    <xf numFmtId="0" fontId="32" fillId="2" borderId="31" xfId="0" applyFont="1" applyFill="1" applyBorder="1" applyAlignment="1" applyProtection="1">
      <alignment horizontal="right" vertical="center"/>
    </xf>
    <xf numFmtId="0" fontId="32" fillId="2" borderId="45" xfId="0" applyFont="1" applyFill="1" applyBorder="1" applyAlignment="1" applyProtection="1">
      <alignment horizontal="center" vertical="center"/>
    </xf>
    <xf numFmtId="0" fontId="33" fillId="2" borderId="46" xfId="0" applyFont="1" applyFill="1" applyBorder="1" applyAlignment="1" applyProtection="1">
      <alignment horizontal="center" vertical="center"/>
    </xf>
    <xf numFmtId="0" fontId="30" fillId="2" borderId="27" xfId="0" applyFont="1" applyFill="1" applyBorder="1" applyAlignment="1" applyProtection="1">
      <alignment vertical="center"/>
    </xf>
    <xf numFmtId="0" fontId="30" fillId="2" borderId="24" xfId="0" applyFont="1" applyFill="1" applyBorder="1" applyAlignment="1" applyProtection="1">
      <alignment vertical="center"/>
    </xf>
    <xf numFmtId="0" fontId="21" fillId="2" borderId="24" xfId="0" applyFont="1" applyFill="1" applyBorder="1" applyAlignment="1" applyProtection="1">
      <alignment vertical="center"/>
    </xf>
    <xf numFmtId="0" fontId="28" fillId="2" borderId="24" xfId="0" applyFont="1" applyFill="1" applyBorder="1" applyAlignment="1" applyProtection="1">
      <alignment horizontal="right" vertical="center"/>
    </xf>
    <xf numFmtId="0" fontId="28" fillId="2" borderId="25" xfId="0" applyFont="1" applyFill="1" applyBorder="1" applyAlignment="1" applyProtection="1">
      <alignment horizontal="right" vertical="center"/>
    </xf>
    <xf numFmtId="49" fontId="28" fillId="2" borderId="25" xfId="0" applyNumberFormat="1" applyFont="1" applyFill="1" applyBorder="1" applyAlignment="1" applyProtection="1">
      <alignment horizontal="center" vertical="center"/>
    </xf>
    <xf numFmtId="0" fontId="30" fillId="2" borderId="47" xfId="0" applyFont="1" applyFill="1" applyBorder="1" applyAlignment="1" applyProtection="1">
      <alignment vertical="center"/>
    </xf>
    <xf numFmtId="0" fontId="30" fillId="2" borderId="48" xfId="0" applyFont="1" applyFill="1" applyBorder="1" applyAlignment="1" applyProtection="1">
      <alignment vertical="center"/>
    </xf>
    <xf numFmtId="0" fontId="21" fillId="2" borderId="48" xfId="0" applyFont="1" applyFill="1" applyBorder="1" applyAlignment="1" applyProtection="1">
      <alignment vertical="center"/>
    </xf>
    <xf numFmtId="0" fontId="28" fillId="2" borderId="28" xfId="0" applyFont="1" applyFill="1" applyBorder="1" applyAlignment="1" applyProtection="1">
      <alignment horizontal="left" vertical="center"/>
    </xf>
    <xf numFmtId="0" fontId="30" fillId="2" borderId="6" xfId="0" applyFont="1" applyFill="1" applyBorder="1" applyAlignment="1" applyProtection="1">
      <alignment vertical="center"/>
    </xf>
    <xf numFmtId="0" fontId="30" fillId="2" borderId="1" xfId="0" applyFont="1" applyFill="1" applyBorder="1" applyAlignment="1" applyProtection="1">
      <alignment vertical="center"/>
    </xf>
    <xf numFmtId="0" fontId="28" fillId="2" borderId="1" xfId="0" applyFont="1" applyFill="1" applyBorder="1" applyAlignment="1" applyProtection="1">
      <alignment vertical="center"/>
    </xf>
    <xf numFmtId="0" fontId="28" fillId="2" borderId="1" xfId="0" applyFont="1" applyFill="1" applyBorder="1" applyAlignment="1" applyProtection="1">
      <alignment horizontal="left" vertical="center"/>
    </xf>
    <xf numFmtId="0" fontId="28" fillId="2" borderId="1" xfId="0" applyFont="1" applyFill="1" applyBorder="1" applyAlignment="1" applyProtection="1">
      <alignment horizontal="right" vertical="center"/>
    </xf>
    <xf numFmtId="49" fontId="28" fillId="2" borderId="1" xfId="0" applyNumberFormat="1" applyFont="1" applyFill="1" applyBorder="1" applyAlignment="1" applyProtection="1">
      <alignment horizontal="right" vertical="center"/>
    </xf>
    <xf numFmtId="0" fontId="30" fillId="2" borderId="49" xfId="0" applyFont="1" applyFill="1" applyBorder="1" applyAlignment="1" applyProtection="1">
      <alignment vertical="center"/>
    </xf>
    <xf numFmtId="0" fontId="21" fillId="2" borderId="50" xfId="0" applyFont="1" applyFill="1" applyBorder="1" applyAlignment="1" applyProtection="1">
      <alignment vertical="center"/>
    </xf>
    <xf numFmtId="0" fontId="28" fillId="2" borderId="50" xfId="0" applyFont="1" applyFill="1" applyBorder="1" applyAlignment="1" applyProtection="1">
      <alignment vertical="center"/>
    </xf>
    <xf numFmtId="0" fontId="28" fillId="2" borderId="50" xfId="0" applyFont="1" applyFill="1" applyBorder="1" applyAlignment="1" applyProtection="1">
      <alignment horizontal="left" vertical="center"/>
    </xf>
    <xf numFmtId="0" fontId="28" fillId="2" borderId="50" xfId="0" applyFont="1" applyFill="1" applyBorder="1" applyAlignment="1" applyProtection="1">
      <alignment horizontal="right" vertical="center"/>
    </xf>
    <xf numFmtId="49" fontId="28" fillId="2" borderId="50" xfId="0" applyNumberFormat="1" applyFont="1" applyFill="1" applyBorder="1" applyAlignment="1" applyProtection="1">
      <alignment horizontal="center" vertical="center"/>
    </xf>
    <xf numFmtId="0" fontId="28" fillId="2" borderId="51" xfId="0" applyFont="1" applyFill="1" applyBorder="1" applyAlignment="1" applyProtection="1">
      <alignment horizontal="left" vertical="center"/>
    </xf>
    <xf numFmtId="0" fontId="30" fillId="2" borderId="29" xfId="0" applyFont="1" applyFill="1" applyBorder="1" applyAlignment="1" applyProtection="1">
      <alignment vertical="center"/>
    </xf>
    <xf numFmtId="0" fontId="21" fillId="2" borderId="26" xfId="0" applyFont="1" applyFill="1" applyBorder="1" applyAlignment="1" applyProtection="1">
      <alignment vertical="center"/>
    </xf>
    <xf numFmtId="0" fontId="28" fillId="2" borderId="26" xfId="0" applyFont="1" applyFill="1" applyBorder="1" applyAlignment="1" applyProtection="1">
      <alignment vertical="center"/>
    </xf>
    <xf numFmtId="0" fontId="28" fillId="2" borderId="26" xfId="0" applyFont="1" applyFill="1" applyBorder="1" applyAlignment="1" applyProtection="1">
      <alignment horizontal="right" vertical="center"/>
    </xf>
    <xf numFmtId="0" fontId="28" fillId="2" borderId="7" xfId="0" applyFont="1" applyFill="1" applyBorder="1" applyAlignment="1" applyProtection="1">
      <alignment horizontal="left" vertical="center"/>
    </xf>
    <xf numFmtId="0" fontId="30" fillId="2" borderId="31" xfId="0" applyFont="1" applyFill="1" applyBorder="1" applyAlignment="1" applyProtection="1">
      <alignment vertical="center"/>
    </xf>
    <xf numFmtId="0" fontId="21" fillId="2" borderId="31" xfId="0" applyFont="1" applyFill="1" applyBorder="1" applyAlignment="1" applyProtection="1">
      <alignment vertical="center"/>
    </xf>
    <xf numFmtId="0" fontId="28" fillId="2" borderId="31" xfId="0" applyFont="1" applyFill="1" applyBorder="1" applyAlignment="1" applyProtection="1">
      <alignment vertical="center"/>
    </xf>
    <xf numFmtId="0" fontId="28" fillId="2" borderId="31" xfId="0" applyFont="1" applyFill="1" applyBorder="1" applyAlignment="1" applyProtection="1">
      <alignment horizontal="right" vertical="center"/>
    </xf>
    <xf numFmtId="2" fontId="21" fillId="2" borderId="31" xfId="0" applyNumberFormat="1" applyFont="1" applyFill="1" applyBorder="1" applyAlignment="1" applyProtection="1">
      <alignment horizontal="right" vertical="center"/>
    </xf>
    <xf numFmtId="0" fontId="28" fillId="2" borderId="24" xfId="0" applyFont="1" applyFill="1" applyBorder="1" applyAlignment="1" applyProtection="1">
      <alignment vertical="center"/>
    </xf>
    <xf numFmtId="2" fontId="21" fillId="2" borderId="53" xfId="0" applyNumberFormat="1" applyFont="1" applyFill="1" applyBorder="1" applyAlignment="1" applyProtection="1">
      <alignment horizontal="right" vertical="center"/>
    </xf>
    <xf numFmtId="0" fontId="21" fillId="2" borderId="25" xfId="0" applyFont="1" applyFill="1" applyBorder="1" applyAlignment="1" applyProtection="1">
      <alignment vertical="center"/>
    </xf>
    <xf numFmtId="0" fontId="28" fillId="2" borderId="25" xfId="0" applyFont="1" applyFill="1" applyBorder="1" applyAlignment="1" applyProtection="1">
      <alignment vertical="center"/>
    </xf>
    <xf numFmtId="2" fontId="21" fillId="5" borderId="54" xfId="0" applyNumberFormat="1" applyFont="1" applyFill="1" applyBorder="1" applyAlignment="1" applyProtection="1">
      <alignment horizontal="right" vertical="center"/>
      <protection locked="0"/>
    </xf>
    <xf numFmtId="0" fontId="30" fillId="2" borderId="28" xfId="0" applyFont="1" applyFill="1" applyBorder="1" applyAlignment="1" applyProtection="1">
      <alignment horizontal="left" vertical="center"/>
    </xf>
    <xf numFmtId="0" fontId="30" fillId="2" borderId="25" xfId="0" applyFont="1" applyFill="1" applyBorder="1" applyAlignment="1" applyProtection="1">
      <alignment vertical="center"/>
    </xf>
    <xf numFmtId="0" fontId="28" fillId="2" borderId="25" xfId="0" applyFont="1" applyFill="1" applyBorder="1" applyAlignment="1" applyProtection="1">
      <alignment horizontal="center" vertical="center"/>
    </xf>
    <xf numFmtId="0" fontId="28" fillId="2" borderId="47" xfId="0" applyFont="1" applyFill="1" applyBorder="1" applyAlignment="1" applyProtection="1">
      <alignment horizontal="left" vertical="center"/>
    </xf>
    <xf numFmtId="0" fontId="28" fillId="0" borderId="48" xfId="0" applyNumberFormat="1" applyFont="1" applyFill="1" applyBorder="1" applyAlignment="1" applyProtection="1">
      <alignment horizontal="center" vertical="center"/>
      <protection locked="0"/>
    </xf>
    <xf numFmtId="0" fontId="21" fillId="2" borderId="30" xfId="0" applyFont="1" applyFill="1" applyBorder="1" applyAlignment="1" applyProtection="1">
      <alignment vertical="center"/>
    </xf>
    <xf numFmtId="0" fontId="21" fillId="2" borderId="31" xfId="0" applyFont="1" applyFill="1" applyBorder="1" applyAlignment="1" applyProtection="1">
      <alignment horizontal="right" vertical="center"/>
    </xf>
    <xf numFmtId="2" fontId="28" fillId="0" borderId="31" xfId="0" applyNumberFormat="1" applyFont="1" applyFill="1" applyBorder="1" applyAlignment="1" applyProtection="1">
      <alignment horizontal="right" vertical="center"/>
    </xf>
    <xf numFmtId="0" fontId="21" fillId="0" borderId="51" xfId="0" applyFont="1" applyBorder="1" applyProtection="1"/>
    <xf numFmtId="0" fontId="28" fillId="2" borderId="43" xfId="0" applyNumberFormat="1" applyFont="1" applyFill="1" applyBorder="1" applyAlignment="1" applyProtection="1">
      <alignment horizontal="center" vertical="center"/>
      <protection locked="0"/>
    </xf>
    <xf numFmtId="0" fontId="3" fillId="2" borderId="28" xfId="0" applyFont="1" applyFill="1" applyBorder="1" applyAlignment="1" applyProtection="1">
      <alignment horizontal="left" vertical="center"/>
    </xf>
    <xf numFmtId="0" fontId="34" fillId="5" borderId="25" xfId="0" applyFont="1" applyFill="1" applyBorder="1" applyAlignment="1" applyProtection="1">
      <alignment horizontal="center" vertical="center"/>
      <protection locked="0"/>
    </xf>
    <xf numFmtId="0" fontId="30" fillId="2" borderId="8" xfId="0" applyFont="1" applyFill="1" applyBorder="1" applyAlignment="1" applyProtection="1">
      <alignment vertical="center"/>
    </xf>
    <xf numFmtId="0" fontId="30" fillId="2" borderId="4" xfId="0" applyFont="1" applyFill="1" applyBorder="1" applyAlignment="1" applyProtection="1">
      <alignment vertical="center"/>
    </xf>
    <xf numFmtId="0" fontId="21" fillId="2" borderId="4" xfId="0" applyFont="1" applyFill="1" applyBorder="1" applyAlignment="1" applyProtection="1">
      <alignment vertical="center"/>
    </xf>
    <xf numFmtId="0" fontId="28" fillId="2" borderId="4" xfId="0" applyFont="1" applyFill="1" applyBorder="1" applyAlignment="1" applyProtection="1">
      <alignment horizontal="right" vertical="center"/>
    </xf>
    <xf numFmtId="0" fontId="3" fillId="2" borderId="29" xfId="0" applyFont="1" applyFill="1" applyBorder="1" applyAlignment="1" applyProtection="1">
      <alignment horizontal="left" vertical="center"/>
    </xf>
    <xf numFmtId="0" fontId="30" fillId="2" borderId="28" xfId="0" applyFont="1" applyFill="1" applyBorder="1" applyAlignment="1" applyProtection="1">
      <alignment vertical="center"/>
    </xf>
    <xf numFmtId="0" fontId="30" fillId="2" borderId="57" xfId="0" applyFont="1" applyFill="1" applyBorder="1" applyAlignment="1" applyProtection="1">
      <alignment vertical="center"/>
    </xf>
    <xf numFmtId="0" fontId="21" fillId="2" borderId="58" xfId="0" applyFont="1" applyFill="1" applyBorder="1" applyAlignment="1" applyProtection="1">
      <alignment vertical="center"/>
    </xf>
    <xf numFmtId="0" fontId="28" fillId="2" borderId="58" xfId="0" applyFont="1" applyFill="1" applyBorder="1" applyAlignment="1" applyProtection="1">
      <alignment horizontal="right" vertical="center"/>
    </xf>
    <xf numFmtId="49" fontId="28" fillId="2" borderId="58" xfId="0" applyNumberFormat="1" applyFont="1" applyFill="1" applyBorder="1" applyAlignment="1" applyProtection="1">
      <alignment horizontal="right" vertical="center"/>
    </xf>
    <xf numFmtId="2" fontId="21" fillId="5" borderId="59" xfId="0" applyNumberFormat="1" applyFont="1" applyFill="1" applyBorder="1" applyAlignment="1" applyProtection="1">
      <alignment horizontal="right" vertical="center"/>
      <protection locked="0"/>
    </xf>
    <xf numFmtId="0" fontId="34" fillId="2" borderId="30" xfId="0" applyFont="1" applyFill="1" applyBorder="1" applyAlignment="1" applyProtection="1">
      <alignment vertical="center"/>
    </xf>
    <xf numFmtId="0" fontId="34" fillId="2" borderId="31" xfId="0" applyFont="1" applyFill="1" applyBorder="1" applyAlignment="1" applyProtection="1">
      <alignment vertical="center"/>
    </xf>
    <xf numFmtId="0" fontId="34" fillId="2" borderId="31" xfId="0" applyFont="1" applyFill="1" applyBorder="1" applyAlignment="1" applyProtection="1">
      <alignment horizontal="right" vertical="center"/>
    </xf>
    <xf numFmtId="49" fontId="34" fillId="2" borderId="31" xfId="0" applyNumberFormat="1" applyFont="1" applyFill="1" applyBorder="1" applyAlignment="1" applyProtection="1">
      <alignment horizontal="center" vertical="center"/>
      <protection locked="0"/>
    </xf>
    <xf numFmtId="0" fontId="21" fillId="2" borderId="27" xfId="0" applyFont="1" applyFill="1" applyBorder="1" applyAlignment="1" applyProtection="1">
      <alignment vertical="center"/>
    </xf>
    <xf numFmtId="0" fontId="21" fillId="2" borderId="24" xfId="0" applyFont="1" applyFill="1" applyBorder="1" applyAlignment="1" applyProtection="1">
      <alignment horizontal="right" vertical="center"/>
    </xf>
    <xf numFmtId="2" fontId="28" fillId="2" borderId="24" xfId="0" applyNumberFormat="1" applyFont="1" applyFill="1" applyBorder="1" applyAlignment="1" applyProtection="1">
      <alignment horizontal="right" vertical="center"/>
    </xf>
    <xf numFmtId="2" fontId="21" fillId="2" borderId="52" xfId="0" applyNumberFormat="1" applyFont="1" applyFill="1" applyBorder="1" applyAlignment="1" applyProtection="1">
      <alignment horizontal="right" vertical="center"/>
    </xf>
    <xf numFmtId="0" fontId="28" fillId="2" borderId="8" xfId="0" applyFont="1" applyFill="1" applyBorder="1" applyAlignment="1" applyProtection="1">
      <alignment vertical="center"/>
    </xf>
    <xf numFmtId="0" fontId="30" fillId="2" borderId="29" xfId="0" applyFont="1" applyFill="1" applyBorder="1" applyAlignment="1" applyProtection="1">
      <alignment horizontal="left" vertical="center"/>
    </xf>
    <xf numFmtId="0" fontId="30" fillId="2" borderId="26" xfId="0" applyFont="1" applyFill="1" applyBorder="1" applyAlignment="1" applyProtection="1">
      <alignment vertical="center"/>
    </xf>
    <xf numFmtId="0" fontId="21" fillId="2" borderId="0" xfId="0" applyFont="1" applyFill="1" applyBorder="1" applyAlignment="1" applyProtection="1">
      <alignment vertical="center"/>
    </xf>
    <xf numFmtId="0" fontId="27" fillId="2" borderId="6" xfId="0" applyFont="1" applyFill="1" applyBorder="1" applyAlignment="1" applyProtection="1">
      <alignment vertical="center"/>
      <protection locked="0"/>
    </xf>
    <xf numFmtId="0" fontId="21" fillId="2" borderId="7" xfId="0" applyFont="1" applyFill="1" applyBorder="1" applyProtection="1">
      <protection locked="0"/>
    </xf>
    <xf numFmtId="0" fontId="21" fillId="2" borderId="8" xfId="0" applyFont="1" applyFill="1" applyBorder="1" applyProtection="1">
      <protection locked="0"/>
    </xf>
    <xf numFmtId="0" fontId="0" fillId="0" borderId="23" xfId="0" applyBorder="1" applyAlignment="1">
      <alignment wrapText="1"/>
    </xf>
    <xf numFmtId="0" fontId="0" fillId="0" borderId="23" xfId="0" applyFill="1" applyBorder="1" applyAlignment="1">
      <alignment wrapText="1"/>
    </xf>
    <xf numFmtId="0" fontId="0" fillId="0" borderId="0" xfId="0" applyAlignment="1">
      <alignment wrapText="1"/>
    </xf>
    <xf numFmtId="0" fontId="0" fillId="0" borderId="18" xfId="0" applyBorder="1" applyAlignment="1">
      <alignment wrapText="1"/>
    </xf>
    <xf numFmtId="164" fontId="28" fillId="0" borderId="60" xfId="0" applyNumberFormat="1" applyFont="1" applyFill="1" applyBorder="1" applyAlignment="1" applyProtection="1">
      <alignment horizontal="center" vertical="center" wrapText="1"/>
    </xf>
    <xf numFmtId="166" fontId="28" fillId="0" borderId="61" xfId="0" applyNumberFormat="1" applyFont="1" applyFill="1" applyBorder="1" applyAlignment="1" applyProtection="1">
      <alignment horizontal="center" vertical="center"/>
    </xf>
    <xf numFmtId="0" fontId="28" fillId="0" borderId="62" xfId="0" applyNumberFormat="1" applyFont="1" applyFill="1" applyBorder="1" applyAlignment="1" applyProtection="1">
      <alignment horizontal="center" vertical="center"/>
    </xf>
    <xf numFmtId="0" fontId="0" fillId="0" borderId="0" xfId="0"/>
    <xf numFmtId="2" fontId="27" fillId="2" borderId="63" xfId="0" applyNumberFormat="1" applyFont="1" applyFill="1" applyBorder="1" applyAlignment="1" applyProtection="1">
      <alignment horizontal="center" textRotation="90" wrapText="1"/>
    </xf>
    <xf numFmtId="0" fontId="27" fillId="2" borderId="63" xfId="0" applyFont="1" applyFill="1" applyBorder="1" applyAlignment="1" applyProtection="1">
      <alignment horizontal="center" textRotation="90" wrapText="1"/>
    </xf>
    <xf numFmtId="0" fontId="6" fillId="2" borderId="31" xfId="0" applyFont="1" applyFill="1" applyBorder="1" applyAlignment="1" applyProtection="1">
      <alignment vertical="center"/>
    </xf>
    <xf numFmtId="0" fontId="6" fillId="2" borderId="32" xfId="0" applyFont="1" applyFill="1" applyBorder="1" applyAlignment="1" applyProtection="1">
      <alignment vertical="center"/>
    </xf>
    <xf numFmtId="0" fontId="6" fillId="2" borderId="64" xfId="0" applyFont="1" applyFill="1" applyBorder="1" applyAlignment="1" applyProtection="1">
      <alignment vertical="center"/>
    </xf>
    <xf numFmtId="0" fontId="6" fillId="2" borderId="33" xfId="0" applyFont="1" applyFill="1" applyBorder="1" applyAlignment="1" applyProtection="1">
      <alignment textRotation="90" wrapText="1"/>
    </xf>
    <xf numFmtId="0" fontId="6" fillId="2" borderId="30" xfId="0" applyFont="1" applyFill="1" applyBorder="1" applyAlignment="1" applyProtection="1">
      <alignment vertical="center"/>
    </xf>
    <xf numFmtId="0" fontId="6" fillId="0" borderId="64" xfId="0" applyFont="1" applyFill="1" applyBorder="1" applyAlignment="1" applyProtection="1">
      <alignment vertical="center"/>
    </xf>
    <xf numFmtId="0" fontId="35" fillId="0" borderId="17" xfId="0" applyFont="1" applyBorder="1" applyAlignment="1">
      <alignment vertical="center"/>
    </xf>
    <xf numFmtId="0" fontId="36" fillId="0" borderId="18" xfId="0" applyFont="1" applyBorder="1" applyAlignment="1">
      <alignment vertical="center"/>
    </xf>
    <xf numFmtId="0" fontId="36" fillId="0" borderId="16" xfId="0" applyFont="1" applyBorder="1"/>
    <xf numFmtId="0" fontId="36" fillId="0" borderId="0" xfId="0" applyFont="1" applyBorder="1"/>
    <xf numFmtId="168" fontId="36" fillId="0" borderId="17" xfId="9" applyNumberFormat="1" applyFont="1" applyFill="1" applyBorder="1"/>
    <xf numFmtId="168" fontId="36" fillId="0" borderId="18" xfId="9" applyNumberFormat="1" applyFont="1" applyFill="1" applyBorder="1"/>
    <xf numFmtId="168" fontId="36" fillId="0" borderId="14" xfId="9" applyNumberFormat="1" applyFont="1" applyFill="1" applyBorder="1"/>
    <xf numFmtId="168" fontId="36" fillId="0" borderId="15" xfId="9" applyNumberFormat="1" applyFont="1" applyFill="1" applyBorder="1"/>
    <xf numFmtId="168" fontId="36" fillId="0" borderId="9" xfId="9" applyNumberFormat="1" applyFont="1" applyFill="1" applyBorder="1"/>
    <xf numFmtId="168" fontId="36" fillId="0" borderId="11" xfId="9" applyNumberFormat="1" applyFont="1" applyFill="1" applyBorder="1"/>
    <xf numFmtId="0" fontId="21" fillId="0" borderId="0" xfId="0" applyFont="1" applyAlignment="1" applyProtection="1">
      <alignment wrapText="1"/>
    </xf>
    <xf numFmtId="0" fontId="21" fillId="2" borderId="0" xfId="0" applyFont="1" applyFill="1" applyAlignment="1" applyProtection="1">
      <alignment wrapText="1"/>
    </xf>
    <xf numFmtId="0" fontId="21" fillId="0" borderId="0" xfId="0" applyFont="1" applyFill="1" applyBorder="1" applyAlignment="1" applyProtection="1">
      <alignment wrapText="1"/>
    </xf>
    <xf numFmtId="0" fontId="21" fillId="0" borderId="0" xfId="0" applyFont="1" applyAlignment="1" applyProtection="1">
      <alignment horizontal="left" vertical="top" wrapText="1"/>
    </xf>
    <xf numFmtId="0" fontId="39" fillId="0" borderId="0" xfId="0" applyFont="1" applyProtection="1"/>
    <xf numFmtId="0" fontId="39" fillId="0" borderId="4" xfId="0" applyFont="1" applyBorder="1" applyProtection="1"/>
    <xf numFmtId="0" fontId="5" fillId="0" borderId="31" xfId="0" applyFont="1" applyBorder="1"/>
    <xf numFmtId="0" fontId="27" fillId="2" borderId="30" xfId="0" applyFont="1" applyFill="1" applyBorder="1" applyAlignment="1" applyProtection="1">
      <alignment vertical="center"/>
    </xf>
    <xf numFmtId="0" fontId="6" fillId="2" borderId="33" xfId="0" applyFont="1" applyFill="1" applyBorder="1" applyAlignment="1" applyProtection="1">
      <alignment horizontal="center" textRotation="90" wrapText="1"/>
    </xf>
    <xf numFmtId="0" fontId="6" fillId="2" borderId="0" xfId="0" applyFont="1" applyFill="1" applyBorder="1" applyAlignment="1" applyProtection="1">
      <alignment horizontal="center" textRotation="90" wrapText="1"/>
    </xf>
    <xf numFmtId="0" fontId="6" fillId="2" borderId="0" xfId="0" applyFont="1" applyFill="1" applyBorder="1" applyAlignment="1" applyProtection="1">
      <alignment textRotation="90" wrapText="1"/>
    </xf>
    <xf numFmtId="0" fontId="27" fillId="2" borderId="31" xfId="0" applyFont="1" applyFill="1" applyBorder="1" applyAlignment="1" applyProtection="1">
      <alignment vertical="center" wrapText="1"/>
    </xf>
    <xf numFmtId="0" fontId="27" fillId="2" borderId="32" xfId="0" applyFont="1" applyFill="1" applyBorder="1" applyAlignment="1" applyProtection="1">
      <alignment vertical="center" wrapText="1"/>
    </xf>
    <xf numFmtId="0" fontId="21" fillId="0" borderId="67" xfId="0" applyFont="1" applyBorder="1"/>
    <xf numFmtId="0" fontId="21" fillId="0" borderId="68" xfId="0" applyFont="1" applyBorder="1"/>
    <xf numFmtId="0" fontId="21" fillId="0" borderId="69" xfId="0" applyFont="1" applyBorder="1"/>
    <xf numFmtId="0" fontId="27" fillId="0" borderId="36" xfId="0" applyFont="1" applyFill="1" applyBorder="1" applyAlignment="1" applyProtection="1">
      <alignment horizontal="center" textRotation="90" wrapText="1"/>
    </xf>
    <xf numFmtId="0" fontId="27" fillId="0" borderId="33" xfId="0" applyFont="1" applyFill="1" applyBorder="1" applyAlignment="1" applyProtection="1">
      <alignment horizontal="center" textRotation="90" wrapText="1"/>
    </xf>
    <xf numFmtId="0" fontId="27" fillId="0" borderId="63" xfId="0" applyFont="1" applyFill="1" applyBorder="1" applyAlignment="1" applyProtection="1">
      <alignment horizontal="center" textRotation="90" wrapText="1"/>
    </xf>
    <xf numFmtId="0" fontId="21" fillId="0" borderId="0" xfId="0" applyFont="1"/>
    <xf numFmtId="0" fontId="21" fillId="2" borderId="6" xfId="0" applyFont="1" applyFill="1" applyBorder="1"/>
    <xf numFmtId="0" fontId="21" fillId="2" borderId="1" xfId="0" applyFont="1" applyFill="1" applyBorder="1"/>
    <xf numFmtId="0" fontId="21" fillId="2" borderId="2" xfId="0" applyFont="1" applyFill="1" applyBorder="1"/>
    <xf numFmtId="0" fontId="21" fillId="2" borderId="4" xfId="0" applyFont="1" applyFill="1" applyBorder="1"/>
    <xf numFmtId="0" fontId="21" fillId="2" borderId="5" xfId="0" applyFont="1" applyFill="1" applyBorder="1"/>
    <xf numFmtId="0" fontId="34" fillId="0" borderId="8" xfId="0" applyFont="1" applyFill="1" applyBorder="1" applyAlignment="1" applyProtection="1">
      <alignment horizontal="left" vertical="top"/>
    </xf>
    <xf numFmtId="14" fontId="28" fillId="0" borderId="0" xfId="0" applyNumberFormat="1" applyFont="1" applyFill="1" applyBorder="1" applyAlignment="1" applyProtection="1">
      <alignment horizontal="left" vertical="center"/>
    </xf>
    <xf numFmtId="0" fontId="27" fillId="2" borderId="0" xfId="0" applyFont="1" applyFill="1" applyBorder="1" applyAlignment="1" applyProtection="1">
      <alignment horizontal="left" vertical="center"/>
    </xf>
    <xf numFmtId="0" fontId="28" fillId="0" borderId="0" xfId="0" applyFont="1" applyFill="1" applyBorder="1" applyAlignment="1" applyProtection="1">
      <alignment horizontal="left" vertical="center"/>
    </xf>
    <xf numFmtId="0" fontId="28" fillId="2" borderId="0" xfId="0" applyFont="1" applyFill="1" applyBorder="1" applyAlignment="1" applyProtection="1">
      <alignment horizontal="left" vertical="center"/>
    </xf>
    <xf numFmtId="2" fontId="27" fillId="2" borderId="32" xfId="0" applyNumberFormat="1" applyFont="1" applyFill="1" applyBorder="1" applyAlignment="1" applyProtection="1">
      <alignment vertical="center"/>
    </xf>
    <xf numFmtId="0" fontId="28" fillId="2" borderId="30" xfId="0" applyFont="1" applyFill="1" applyBorder="1" applyAlignment="1" applyProtection="1">
      <alignment vertical="center"/>
    </xf>
    <xf numFmtId="0" fontId="28" fillId="2" borderId="32" xfId="0" applyFont="1" applyFill="1" applyBorder="1" applyAlignment="1" applyProtection="1">
      <alignment vertical="center"/>
    </xf>
    <xf numFmtId="0" fontId="28" fillId="2" borderId="0" xfId="0" applyFont="1" applyFill="1" applyAlignment="1" applyProtection="1">
      <alignment vertical="center"/>
    </xf>
    <xf numFmtId="0" fontId="21" fillId="2" borderId="32" xfId="0" applyFont="1" applyFill="1" applyBorder="1" applyAlignment="1" applyProtection="1">
      <alignment vertical="center"/>
    </xf>
    <xf numFmtId="2" fontId="25" fillId="3" borderId="73" xfId="0" applyNumberFormat="1" applyFont="1" applyFill="1" applyBorder="1" applyAlignment="1" applyProtection="1">
      <alignment horizontal="center" vertical="center"/>
    </xf>
    <xf numFmtId="2" fontId="25" fillId="3" borderId="74" xfId="0" applyNumberFormat="1" applyFont="1" applyFill="1" applyBorder="1" applyAlignment="1" applyProtection="1">
      <alignment horizontal="center" vertical="center"/>
    </xf>
    <xf numFmtId="166" fontId="28" fillId="0" borderId="24" xfId="0" applyNumberFormat="1" applyFont="1" applyFill="1" applyBorder="1" applyAlignment="1" applyProtection="1">
      <alignment horizontal="center" vertical="center"/>
    </xf>
    <xf numFmtId="164" fontId="28" fillId="0" borderId="24" xfId="0" applyNumberFormat="1" applyFont="1" applyFill="1" applyBorder="1" applyAlignment="1" applyProtection="1">
      <alignment horizontal="center" vertical="center"/>
    </xf>
    <xf numFmtId="0" fontId="28" fillId="0" borderId="24" xfId="0" applyNumberFormat="1" applyFont="1" applyFill="1" applyBorder="1" applyAlignment="1" applyProtection="1">
      <alignment horizontal="center" vertical="center"/>
    </xf>
    <xf numFmtId="0" fontId="21" fillId="0" borderId="0" xfId="0" applyFont="1" applyFill="1" applyBorder="1" applyAlignment="1" applyProtection="1">
      <alignment horizontal="left" vertical="center"/>
    </xf>
    <xf numFmtId="0" fontId="21" fillId="0" borderId="4" xfId="0" applyFont="1" applyFill="1" applyBorder="1" applyAlignment="1" applyProtection="1">
      <alignment horizontal="left" vertical="center"/>
    </xf>
    <xf numFmtId="0" fontId="39" fillId="0" borderId="0" xfId="0" applyFont="1" applyAlignment="1" applyProtection="1">
      <alignment horizontal="center"/>
    </xf>
    <xf numFmtId="0" fontId="21" fillId="0" borderId="0" xfId="0" applyFont="1" applyAlignment="1" applyProtection="1">
      <alignment horizontal="center"/>
    </xf>
    <xf numFmtId="0" fontId="26" fillId="2" borderId="0" xfId="0" applyFont="1" applyFill="1" applyBorder="1" applyAlignment="1" applyProtection="1">
      <alignment horizontal="center"/>
    </xf>
    <xf numFmtId="0" fontId="21" fillId="2" borderId="0" xfId="0" applyFont="1" applyFill="1" applyAlignment="1" applyProtection="1">
      <alignment horizontal="center"/>
    </xf>
    <xf numFmtId="0" fontId="27" fillId="2" borderId="0" xfId="0" applyFont="1" applyFill="1" applyBorder="1" applyAlignment="1" applyProtection="1">
      <alignment vertical="center"/>
    </xf>
    <xf numFmtId="0" fontId="27" fillId="2" borderId="64" xfId="0" applyFont="1" applyFill="1" applyBorder="1" applyAlignment="1" applyProtection="1">
      <alignment horizontal="center" textRotation="90" wrapText="1"/>
    </xf>
    <xf numFmtId="0" fontId="21" fillId="2" borderId="0" xfId="0" applyFont="1" applyFill="1" applyAlignment="1" applyProtection="1">
      <alignment horizontal="center"/>
      <protection locked="0"/>
    </xf>
    <xf numFmtId="49" fontId="21" fillId="2" borderId="0" xfId="0" applyNumberFormat="1" applyFont="1" applyFill="1" applyAlignment="1" applyProtection="1">
      <alignment vertical="center"/>
      <protection locked="0"/>
    </xf>
    <xf numFmtId="2" fontId="25" fillId="3" borderId="75" xfId="0" applyNumberFormat="1" applyFont="1" applyFill="1" applyBorder="1" applyAlignment="1" applyProtection="1">
      <alignment horizontal="center" vertical="center"/>
    </xf>
    <xf numFmtId="0" fontId="21" fillId="2" borderId="0" xfId="0" applyFont="1" applyFill="1" applyAlignment="1" applyProtection="1">
      <alignment horizontal="center" vertical="center"/>
      <protection locked="0"/>
    </xf>
    <xf numFmtId="0" fontId="25" fillId="2" borderId="4" xfId="0" applyFont="1" applyFill="1" applyBorder="1" applyAlignment="1" applyProtection="1">
      <alignment horizontal="left"/>
    </xf>
    <xf numFmtId="0" fontId="27" fillId="2" borderId="27" xfId="0" applyFont="1" applyFill="1" applyBorder="1" applyAlignment="1" applyProtection="1">
      <alignment horizontal="left" vertical="center"/>
    </xf>
    <xf numFmtId="0" fontId="27" fillId="2" borderId="24" xfId="0" applyFont="1" applyFill="1" applyBorder="1" applyAlignment="1" applyProtection="1">
      <alignment horizontal="left" vertical="center"/>
    </xf>
    <xf numFmtId="0" fontId="27" fillId="2" borderId="28" xfId="0" applyFont="1" applyFill="1" applyBorder="1" applyAlignment="1" applyProtection="1">
      <alignment horizontal="left" vertical="center"/>
    </xf>
    <xf numFmtId="0" fontId="27" fillId="2" borderId="25" xfId="0" applyFont="1" applyFill="1" applyBorder="1" applyAlignment="1" applyProtection="1">
      <alignment horizontal="left" vertical="center"/>
    </xf>
    <xf numFmtId="2" fontId="21" fillId="6" borderId="53" xfId="0" applyNumberFormat="1" applyFont="1" applyFill="1" applyBorder="1" applyAlignment="1" applyProtection="1">
      <alignment horizontal="right" vertical="center"/>
    </xf>
    <xf numFmtId="2" fontId="21" fillId="6" borderId="76" xfId="0" applyNumberFormat="1" applyFont="1" applyFill="1" applyBorder="1" applyAlignment="1" applyProtection="1">
      <alignment horizontal="right" vertical="center"/>
    </xf>
    <xf numFmtId="2" fontId="21" fillId="6" borderId="77" xfId="0" applyNumberFormat="1" applyFont="1" applyFill="1" applyBorder="1" applyAlignment="1" applyProtection="1">
      <alignment horizontal="right" vertical="center"/>
    </xf>
    <xf numFmtId="2" fontId="21" fillId="6" borderId="78" xfId="0" applyNumberFormat="1" applyFont="1" applyFill="1" applyBorder="1" applyAlignment="1" applyProtection="1">
      <alignment horizontal="right" vertical="center"/>
    </xf>
    <xf numFmtId="2" fontId="21" fillId="6" borderId="79" xfId="0" applyNumberFormat="1" applyFont="1" applyFill="1" applyBorder="1" applyAlignment="1" applyProtection="1">
      <alignment horizontal="right" vertical="center"/>
    </xf>
    <xf numFmtId="2" fontId="21" fillId="6" borderId="54" xfId="0" applyNumberFormat="1" applyFont="1" applyFill="1" applyBorder="1" applyAlignment="1" applyProtection="1">
      <alignment horizontal="right" vertical="center"/>
    </xf>
    <xf numFmtId="2" fontId="30" fillId="6" borderId="46" xfId="0" applyNumberFormat="1" applyFont="1" applyFill="1" applyBorder="1" applyAlignment="1" applyProtection="1">
      <alignment horizontal="right" vertical="center"/>
    </xf>
    <xf numFmtId="2" fontId="30" fillId="6" borderId="80" xfId="0" applyNumberFormat="1" applyFont="1" applyFill="1" applyBorder="1" applyAlignment="1" applyProtection="1">
      <alignment horizontal="right" vertical="center"/>
    </xf>
    <xf numFmtId="2" fontId="21" fillId="6" borderId="80" xfId="0" applyNumberFormat="1" applyFont="1" applyFill="1" applyBorder="1" applyAlignment="1" applyProtection="1">
      <alignment horizontal="right" vertical="center"/>
    </xf>
    <xf numFmtId="2" fontId="34" fillId="6" borderId="46" xfId="0" applyNumberFormat="1" applyFont="1" applyFill="1" applyBorder="1" applyAlignment="1" applyProtection="1">
      <alignment horizontal="right" vertical="center"/>
    </xf>
    <xf numFmtId="2" fontId="34" fillId="5" borderId="81" xfId="0" applyNumberFormat="1" applyFont="1" applyFill="1" applyBorder="1" applyAlignment="1" applyProtection="1">
      <alignment horizontal="center" vertical="center"/>
      <protection locked="0"/>
    </xf>
    <xf numFmtId="2" fontId="34" fillId="5" borderId="82" xfId="0" applyNumberFormat="1" applyFont="1" applyFill="1" applyBorder="1" applyAlignment="1" applyProtection="1">
      <alignment horizontal="center" vertical="center"/>
      <protection locked="0"/>
    </xf>
    <xf numFmtId="2" fontId="21" fillId="6" borderId="52" xfId="0" applyNumberFormat="1" applyFont="1" applyFill="1" applyBorder="1" applyAlignment="1" applyProtection="1">
      <alignment horizontal="right" vertical="center"/>
    </xf>
    <xf numFmtId="2" fontId="21" fillId="6" borderId="83" xfId="0" applyNumberFormat="1" applyFont="1" applyFill="1" applyBorder="1" applyAlignment="1" applyProtection="1">
      <alignment horizontal="right" vertical="center"/>
    </xf>
    <xf numFmtId="2" fontId="21" fillId="6" borderId="84" xfId="0" applyNumberFormat="1" applyFont="1" applyFill="1" applyBorder="1" applyAlignment="1" applyProtection="1">
      <alignment horizontal="right" vertical="center"/>
    </xf>
    <xf numFmtId="2" fontId="21" fillId="6" borderId="85" xfId="0" applyNumberFormat="1" applyFont="1" applyFill="1" applyBorder="1" applyAlignment="1" applyProtection="1">
      <alignment horizontal="right" vertical="center"/>
    </xf>
    <xf numFmtId="2" fontId="21" fillId="6" borderId="86" xfId="0" applyNumberFormat="1" applyFont="1" applyFill="1" applyBorder="1" applyAlignment="1" applyProtection="1">
      <alignment horizontal="right" vertical="center"/>
    </xf>
    <xf numFmtId="2" fontId="21" fillId="6" borderId="87" xfId="0" applyNumberFormat="1" applyFont="1" applyFill="1" applyBorder="1" applyAlignment="1" applyProtection="1">
      <alignment horizontal="right" vertical="center"/>
    </xf>
    <xf numFmtId="2" fontId="30" fillId="6" borderId="45" xfId="0" applyNumberFormat="1" applyFont="1" applyFill="1" applyBorder="1" applyAlignment="1" applyProtection="1">
      <alignment horizontal="right" vertical="center"/>
    </xf>
    <xf numFmtId="2" fontId="30" fillId="6" borderId="88" xfId="0" applyNumberFormat="1" applyFont="1" applyFill="1" applyBorder="1" applyAlignment="1" applyProtection="1">
      <alignment horizontal="right" vertical="center"/>
    </xf>
    <xf numFmtId="2" fontId="21" fillId="6" borderId="89" xfId="0" applyNumberFormat="1" applyFont="1" applyFill="1" applyBorder="1" applyAlignment="1" applyProtection="1">
      <alignment horizontal="right" vertical="center"/>
    </xf>
    <xf numFmtId="2" fontId="21" fillId="5" borderId="87" xfId="0" applyNumberFormat="1" applyFont="1" applyFill="1" applyBorder="1" applyAlignment="1" applyProtection="1">
      <alignment horizontal="right" vertical="center"/>
      <protection locked="0"/>
    </xf>
    <xf numFmtId="2" fontId="21" fillId="5" borderId="90" xfId="0" applyNumberFormat="1" applyFont="1" applyFill="1" applyBorder="1" applyAlignment="1" applyProtection="1">
      <alignment horizontal="right" vertical="center"/>
      <protection locked="0"/>
    </xf>
    <xf numFmtId="49" fontId="25" fillId="5" borderId="41" xfId="0" applyNumberFormat="1" applyFont="1" applyFill="1" applyBorder="1" applyAlignment="1" applyProtection="1">
      <alignment horizontal="center" vertical="center"/>
      <protection locked="0"/>
    </xf>
    <xf numFmtId="49" fontId="25" fillId="5" borderId="93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94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93" xfId="0" applyNumberFormat="1" applyFont="1" applyFill="1" applyBorder="1" applyAlignment="1" applyProtection="1">
      <alignment horizontal="center" vertical="center"/>
      <protection locked="0"/>
    </xf>
    <xf numFmtId="2" fontId="25" fillId="5" borderId="95" xfId="0" applyNumberFormat="1" applyFont="1" applyFill="1" applyBorder="1" applyAlignment="1" applyProtection="1">
      <alignment horizontal="center" vertical="center"/>
      <protection locked="0"/>
    </xf>
    <xf numFmtId="2" fontId="25" fillId="5" borderId="93" xfId="0" applyNumberFormat="1" applyFont="1" applyFill="1" applyBorder="1" applyAlignment="1" applyProtection="1">
      <alignment horizontal="center" vertical="center"/>
      <protection locked="0"/>
    </xf>
    <xf numFmtId="0" fontId="25" fillId="5" borderId="73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96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97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73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96" xfId="0" applyNumberFormat="1" applyFont="1" applyFill="1" applyBorder="1" applyAlignment="1" applyProtection="1">
      <alignment horizontal="center" vertical="center"/>
      <protection locked="0"/>
    </xf>
    <xf numFmtId="169" fontId="25" fillId="5" borderId="75" xfId="0" applyNumberFormat="1" applyFont="1" applyFill="1" applyBorder="1" applyAlignment="1" applyProtection="1">
      <alignment horizontal="center" vertical="center"/>
      <protection locked="0"/>
    </xf>
    <xf numFmtId="49" fontId="25" fillId="5" borderId="98" xfId="0" applyNumberFormat="1" applyFont="1" applyFill="1" applyBorder="1" applyAlignment="1" applyProtection="1">
      <alignment horizontal="center" vertical="center"/>
      <protection locked="0"/>
    </xf>
    <xf numFmtId="2" fontId="25" fillId="5" borderId="96" xfId="0" applyNumberFormat="1" applyFont="1" applyFill="1" applyBorder="1" applyAlignment="1" applyProtection="1">
      <alignment horizontal="center" vertical="center"/>
      <protection locked="0"/>
    </xf>
    <xf numFmtId="166" fontId="25" fillId="5" borderId="97" xfId="0" applyNumberFormat="1" applyFont="1" applyFill="1" applyBorder="1" applyAlignment="1" applyProtection="1">
      <alignment horizontal="center" vertical="center"/>
      <protection locked="0"/>
    </xf>
    <xf numFmtId="0" fontId="25" fillId="5" borderId="99" xfId="0" applyNumberFormat="1" applyFont="1" applyFill="1" applyBorder="1" applyAlignment="1" applyProtection="1">
      <alignment horizontal="center" vertical="center" wrapText="1"/>
      <protection locked="0"/>
    </xf>
    <xf numFmtId="2" fontId="25" fillId="6" borderId="95" xfId="0" applyNumberFormat="1" applyFont="1" applyFill="1" applyBorder="1" applyAlignment="1" applyProtection="1">
      <alignment horizontal="center" vertical="center"/>
    </xf>
    <xf numFmtId="169" fontId="25" fillId="6" borderId="75" xfId="0" applyNumberFormat="1" applyFont="1" applyFill="1" applyBorder="1" applyAlignment="1" applyProtection="1">
      <alignment horizontal="center" vertical="center"/>
    </xf>
    <xf numFmtId="0" fontId="25" fillId="5" borderId="93" xfId="0" applyNumberFormat="1" applyFont="1" applyFill="1" applyBorder="1" applyAlignment="1" applyProtection="1">
      <alignment horizontal="center" vertical="center"/>
      <protection locked="0"/>
    </xf>
    <xf numFmtId="0" fontId="25" fillId="5" borderId="100" xfId="0" applyNumberFormat="1" applyFont="1" applyFill="1" applyBorder="1" applyAlignment="1" applyProtection="1">
      <alignment horizontal="center" vertical="center"/>
      <protection locked="0"/>
    </xf>
    <xf numFmtId="0" fontId="25" fillId="5" borderId="73" xfId="0" applyNumberFormat="1" applyFont="1" applyFill="1" applyBorder="1" applyAlignment="1" applyProtection="1">
      <alignment horizontal="center" vertical="center"/>
      <protection locked="0"/>
    </xf>
    <xf numFmtId="0" fontId="25" fillId="5" borderId="96" xfId="0" applyNumberFormat="1" applyFont="1" applyFill="1" applyBorder="1" applyAlignment="1" applyProtection="1">
      <alignment horizontal="center" vertical="center"/>
      <protection locked="0"/>
    </xf>
    <xf numFmtId="2" fontId="25" fillId="5" borderId="75" xfId="0" applyNumberFormat="1" applyFont="1" applyFill="1" applyBorder="1" applyAlignment="1" applyProtection="1">
      <alignment horizontal="center" vertical="center"/>
      <protection locked="0"/>
    </xf>
    <xf numFmtId="0" fontId="25" fillId="5" borderId="98" xfId="0" applyNumberFormat="1" applyFont="1" applyFill="1" applyBorder="1" applyAlignment="1" applyProtection="1">
      <alignment horizontal="center" vertical="center"/>
      <protection locked="0"/>
    </xf>
    <xf numFmtId="166" fontId="25" fillId="5" borderId="73" xfId="0" applyNumberFormat="1" applyFont="1" applyFill="1" applyBorder="1" applyAlignment="1" applyProtection="1">
      <alignment horizontal="center" vertical="center"/>
      <protection locked="0"/>
    </xf>
    <xf numFmtId="169" fontId="28" fillId="6" borderId="101" xfId="0" applyNumberFormat="1" applyFont="1" applyFill="1" applyBorder="1" applyAlignment="1" applyProtection="1">
      <alignment horizontal="center" vertical="center"/>
    </xf>
    <xf numFmtId="169" fontId="28" fillId="6" borderId="102" xfId="0" applyNumberFormat="1" applyFont="1" applyFill="1" applyBorder="1" applyAlignment="1" applyProtection="1">
      <alignment horizontal="center" vertical="center"/>
    </xf>
    <xf numFmtId="0" fontId="25" fillId="5" borderId="73" xfId="0" applyNumberFormat="1" applyFont="1" applyFill="1" applyBorder="1" applyAlignment="1" applyProtection="1">
      <alignment horizontal="left" vertical="center" wrapText="1"/>
      <protection locked="0"/>
    </xf>
    <xf numFmtId="169" fontId="25" fillId="5" borderId="96" xfId="0" applyNumberFormat="1" applyFont="1" applyFill="1" applyBorder="1" applyAlignment="1" applyProtection="1">
      <alignment horizontal="center" vertical="center"/>
      <protection locked="0"/>
    </xf>
    <xf numFmtId="2" fontId="25" fillId="6" borderId="75" xfId="0" applyNumberFormat="1" applyFont="1" applyFill="1" applyBorder="1" applyAlignment="1" applyProtection="1">
      <alignment horizontal="center" vertical="center"/>
    </xf>
    <xf numFmtId="2" fontId="25" fillId="6" borderId="73" xfId="0" applyNumberFormat="1" applyFont="1" applyFill="1" applyBorder="1" applyAlignment="1" applyProtection="1">
      <alignment horizontal="center" vertical="center"/>
    </xf>
    <xf numFmtId="2" fontId="25" fillId="6" borderId="96" xfId="0" applyNumberFormat="1" applyFont="1" applyFill="1" applyBorder="1" applyAlignment="1" applyProtection="1">
      <alignment horizontal="center" vertical="center"/>
    </xf>
    <xf numFmtId="0" fontId="25" fillId="5" borderId="94" xfId="0" applyNumberFormat="1" applyFont="1" applyFill="1" applyBorder="1" applyAlignment="1" applyProtection="1">
      <alignment horizontal="center" vertical="center"/>
      <protection locked="0"/>
    </xf>
    <xf numFmtId="0" fontId="25" fillId="5" borderId="93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94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41" xfId="0" applyNumberFormat="1" applyFont="1" applyFill="1" applyBorder="1" applyAlignment="1" applyProtection="1">
      <alignment horizontal="center" vertical="center" wrapText="1"/>
      <protection locked="0"/>
    </xf>
    <xf numFmtId="2" fontId="25" fillId="5" borderId="98" xfId="0" applyNumberFormat="1" applyFont="1" applyFill="1" applyBorder="1" applyAlignment="1" applyProtection="1">
      <alignment horizontal="center" vertical="center"/>
      <protection locked="0"/>
    </xf>
    <xf numFmtId="2" fontId="25" fillId="6" borderId="41" xfId="0" applyNumberFormat="1" applyFont="1" applyFill="1" applyBorder="1" applyAlignment="1" applyProtection="1">
      <alignment horizontal="center" vertical="center"/>
    </xf>
    <xf numFmtId="2" fontId="25" fillId="6" borderId="93" xfId="0" applyNumberFormat="1" applyFont="1" applyFill="1" applyBorder="1" applyAlignment="1" applyProtection="1">
      <alignment horizontal="center" vertical="center"/>
    </xf>
    <xf numFmtId="2" fontId="25" fillId="6" borderId="103" xfId="0" applyNumberFormat="1" applyFont="1" applyFill="1" applyBorder="1" applyAlignment="1" applyProtection="1">
      <alignment horizontal="center" vertical="center"/>
    </xf>
    <xf numFmtId="2" fontId="25" fillId="6" borderId="104" xfId="0" applyNumberFormat="1" applyFont="1" applyFill="1" applyBorder="1" applyAlignment="1" applyProtection="1">
      <alignment horizontal="center" vertical="center"/>
    </xf>
    <xf numFmtId="2" fontId="25" fillId="6" borderId="74" xfId="0" applyNumberFormat="1" applyFont="1" applyFill="1" applyBorder="1" applyAlignment="1" applyProtection="1">
      <alignment horizontal="center" vertical="center"/>
    </xf>
    <xf numFmtId="2" fontId="25" fillId="6" borderId="105" xfId="0" applyNumberFormat="1" applyFont="1" applyFill="1" applyBorder="1" applyAlignment="1" applyProtection="1">
      <alignment horizontal="center" vertical="center"/>
    </xf>
    <xf numFmtId="2" fontId="25" fillId="6" borderId="106" xfId="0" applyNumberFormat="1" applyFont="1" applyFill="1" applyBorder="1" applyAlignment="1" applyProtection="1">
      <alignment horizontal="center" vertical="center"/>
    </xf>
    <xf numFmtId="2" fontId="25" fillId="6" borderId="107" xfId="0" applyNumberFormat="1" applyFont="1" applyFill="1" applyBorder="1" applyAlignment="1" applyProtection="1">
      <alignment horizontal="center" vertical="center"/>
    </xf>
    <xf numFmtId="2" fontId="25" fillId="6" borderId="94" xfId="0" applyNumberFormat="1" applyFont="1" applyFill="1" applyBorder="1" applyAlignment="1" applyProtection="1">
      <alignment horizontal="center" vertical="center"/>
    </xf>
    <xf numFmtId="2" fontId="25" fillId="6" borderId="97" xfId="0" applyNumberFormat="1" applyFont="1" applyFill="1" applyBorder="1" applyAlignment="1" applyProtection="1">
      <alignment horizontal="center" vertical="center"/>
    </xf>
    <xf numFmtId="2" fontId="28" fillId="6" borderId="102" xfId="0" applyNumberFormat="1" applyFont="1" applyFill="1" applyBorder="1" applyAlignment="1" applyProtection="1">
      <alignment horizontal="center" vertical="center"/>
    </xf>
    <xf numFmtId="2" fontId="28" fillId="6" borderId="101" xfId="0" applyNumberFormat="1" applyFont="1" applyFill="1" applyBorder="1" applyAlignment="1" applyProtection="1">
      <alignment horizontal="center" vertical="center"/>
    </xf>
    <xf numFmtId="2" fontId="28" fillId="6" borderId="109" xfId="0" applyNumberFormat="1" applyFont="1" applyFill="1" applyBorder="1" applyAlignment="1" applyProtection="1">
      <alignment horizontal="center" vertical="center"/>
    </xf>
    <xf numFmtId="2" fontId="25" fillId="5" borderId="100" xfId="0" applyNumberFormat="1" applyFont="1" applyFill="1" applyBorder="1" applyAlignment="1" applyProtection="1">
      <alignment horizontal="center" vertical="center"/>
      <protection locked="0"/>
    </xf>
    <xf numFmtId="10" fontId="25" fillId="5" borderId="93" xfId="8" applyNumberFormat="1" applyFont="1" applyFill="1" applyBorder="1" applyAlignment="1" applyProtection="1">
      <alignment horizontal="center" vertical="center" wrapText="1"/>
      <protection locked="0"/>
    </xf>
    <xf numFmtId="2" fontId="25" fillId="5" borderId="93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96" xfId="0" applyNumberFormat="1" applyFont="1" applyFill="1" applyBorder="1" applyAlignment="1" applyProtection="1">
      <alignment horizontal="center" vertical="center" wrapText="1"/>
      <protection locked="0"/>
    </xf>
    <xf numFmtId="10" fontId="25" fillId="5" borderId="96" xfId="0" applyNumberFormat="1" applyFont="1" applyFill="1" applyBorder="1" applyAlignment="1" applyProtection="1">
      <alignment horizontal="center" vertical="center" wrapText="1"/>
      <protection locked="0"/>
    </xf>
    <xf numFmtId="2" fontId="25" fillId="5" borderId="96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74" xfId="0" applyNumberFormat="1" applyFont="1" applyFill="1" applyBorder="1" applyAlignment="1" applyProtection="1">
      <alignment horizontal="center" vertical="center"/>
      <protection locked="0"/>
    </xf>
    <xf numFmtId="0" fontId="25" fillId="5" borderId="34" xfId="0" applyNumberFormat="1" applyFont="1" applyFill="1" applyBorder="1" applyAlignment="1" applyProtection="1">
      <alignment horizontal="center" vertical="center"/>
      <protection locked="0"/>
    </xf>
    <xf numFmtId="0" fontId="25" fillId="5" borderId="105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108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74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105" xfId="0" applyNumberFormat="1" applyFont="1" applyFill="1" applyBorder="1" applyAlignment="1" applyProtection="1">
      <alignment horizontal="center" vertical="center" wrapText="1"/>
      <protection locked="0"/>
    </xf>
    <xf numFmtId="2" fontId="25" fillId="5" borderId="110" xfId="0" applyNumberFormat="1" applyFont="1" applyFill="1" applyBorder="1" applyAlignment="1" applyProtection="1">
      <alignment horizontal="center" vertical="center"/>
      <protection locked="0"/>
    </xf>
    <xf numFmtId="2" fontId="25" fillId="5" borderId="105" xfId="0" applyNumberFormat="1" applyFont="1" applyFill="1" applyBorder="1" applyAlignment="1" applyProtection="1">
      <alignment horizontal="center" vertical="center" wrapText="1"/>
      <protection locked="0"/>
    </xf>
    <xf numFmtId="2" fontId="25" fillId="5" borderId="94" xfId="0" applyNumberFormat="1" applyFont="1" applyFill="1" applyBorder="1" applyAlignment="1" applyProtection="1">
      <alignment horizontal="center" vertical="center" wrapText="1"/>
      <protection locked="0"/>
    </xf>
    <xf numFmtId="2" fontId="25" fillId="5" borderId="97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73" xfId="0" applyNumberFormat="1" applyFont="1" applyFill="1" applyBorder="1" applyAlignment="1" applyProtection="1">
      <alignment horizontal="center" vertical="center"/>
      <protection locked="0"/>
    </xf>
    <xf numFmtId="0" fontId="25" fillId="5" borderId="97" xfId="0" applyNumberFormat="1" applyFont="1" applyFill="1" applyBorder="1" applyAlignment="1" applyProtection="1">
      <alignment horizontal="center" vertical="center"/>
      <protection locked="0"/>
    </xf>
    <xf numFmtId="49" fontId="25" fillId="5" borderId="74" xfId="0" applyNumberFormat="1" applyFont="1" applyFill="1" applyBorder="1" applyAlignment="1" applyProtection="1">
      <alignment horizontal="center" vertical="center"/>
      <protection locked="0"/>
    </xf>
    <xf numFmtId="2" fontId="25" fillId="5" borderId="105" xfId="0" applyNumberFormat="1" applyFont="1" applyFill="1" applyBorder="1" applyAlignment="1" applyProtection="1">
      <alignment horizontal="center" vertical="center"/>
      <protection locked="0"/>
    </xf>
    <xf numFmtId="0" fontId="25" fillId="5" borderId="108" xfId="0" applyNumberFormat="1" applyFont="1" applyFill="1" applyBorder="1" applyAlignment="1" applyProtection="1">
      <alignment horizontal="center" vertical="center"/>
      <protection locked="0"/>
    </xf>
    <xf numFmtId="166" fontId="25" fillId="5" borderId="41" xfId="0" applyNumberFormat="1" applyFont="1" applyFill="1" applyBorder="1" applyAlignment="1" applyProtection="1">
      <alignment horizontal="center" vertical="center"/>
      <protection locked="0"/>
    </xf>
    <xf numFmtId="166" fontId="25" fillId="5" borderId="74" xfId="0" applyNumberFormat="1" applyFont="1" applyFill="1" applyBorder="1" applyAlignment="1" applyProtection="1">
      <alignment horizontal="center" vertical="center"/>
      <protection locked="0"/>
    </xf>
    <xf numFmtId="3" fontId="28" fillId="6" borderId="101" xfId="0" applyNumberFormat="1" applyFont="1" applyFill="1" applyBorder="1" applyAlignment="1" applyProtection="1">
      <alignment horizontal="center" vertical="center"/>
    </xf>
    <xf numFmtId="4" fontId="28" fillId="6" borderId="102" xfId="0" applyNumberFormat="1" applyFont="1" applyFill="1" applyBorder="1" applyAlignment="1" applyProtection="1">
      <alignment horizontal="center" vertical="center"/>
    </xf>
    <xf numFmtId="3" fontId="25" fillId="6" borderId="95" xfId="0" applyNumberFormat="1" applyFont="1" applyFill="1" applyBorder="1" applyAlignment="1" applyProtection="1">
      <alignment horizontal="center" vertical="center"/>
    </xf>
    <xf numFmtId="3" fontId="25" fillId="6" borderId="93" xfId="0" applyNumberFormat="1" applyFont="1" applyFill="1" applyBorder="1" applyAlignment="1" applyProtection="1">
      <alignment horizontal="center" vertical="center"/>
    </xf>
    <xf numFmtId="3" fontId="25" fillId="6" borderId="75" xfId="0" applyNumberFormat="1" applyFont="1" applyFill="1" applyBorder="1" applyAlignment="1" applyProtection="1">
      <alignment horizontal="center" vertical="center"/>
    </xf>
    <xf numFmtId="3" fontId="25" fillId="6" borderId="96" xfId="0" applyNumberFormat="1" applyFont="1" applyFill="1" applyBorder="1" applyAlignment="1" applyProtection="1">
      <alignment horizontal="center" vertical="center"/>
    </xf>
    <xf numFmtId="3" fontId="25" fillId="6" borderId="107" xfId="0" applyNumberFormat="1" applyFont="1" applyFill="1" applyBorder="1" applyAlignment="1" applyProtection="1">
      <alignment horizontal="center" vertical="center"/>
    </xf>
    <xf numFmtId="3" fontId="25" fillId="6" borderId="105" xfId="0" applyNumberFormat="1" applyFont="1" applyFill="1" applyBorder="1" applyAlignment="1" applyProtection="1">
      <alignment horizontal="center" vertical="center"/>
    </xf>
    <xf numFmtId="0" fontId="25" fillId="5" borderId="55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95" xfId="0" applyNumberFormat="1" applyFont="1" applyFill="1" applyBorder="1" applyAlignment="1" applyProtection="1">
      <alignment horizontal="center" vertical="center" wrapText="1"/>
      <protection locked="0"/>
    </xf>
    <xf numFmtId="3" fontId="25" fillId="5" borderId="93" xfId="0" applyNumberFormat="1" applyFont="1" applyFill="1" applyBorder="1" applyAlignment="1" applyProtection="1">
      <alignment horizontal="center" vertical="center"/>
      <protection locked="0"/>
    </xf>
    <xf numFmtId="3" fontId="25" fillId="5" borderId="94" xfId="0" applyNumberFormat="1" applyFont="1" applyFill="1" applyBorder="1" applyAlignment="1" applyProtection="1">
      <alignment horizontal="center" vertical="center"/>
      <protection locked="0"/>
    </xf>
    <xf numFmtId="0" fontId="25" fillId="5" borderId="95" xfId="0" applyNumberFormat="1" applyFont="1" applyFill="1" applyBorder="1" applyAlignment="1" applyProtection="1">
      <alignment horizontal="center" vertical="center"/>
      <protection locked="0"/>
    </xf>
    <xf numFmtId="3" fontId="25" fillId="5" borderId="56" xfId="0" applyNumberFormat="1" applyFont="1" applyFill="1" applyBorder="1" applyAlignment="1" applyProtection="1">
      <alignment horizontal="center" vertical="center"/>
      <protection locked="0"/>
    </xf>
    <xf numFmtId="0" fontId="25" fillId="5" borderId="66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97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75" xfId="0" applyNumberFormat="1" applyFont="1" applyFill="1" applyBorder="1" applyAlignment="1" applyProtection="1">
      <alignment horizontal="center" vertical="center" wrapText="1"/>
      <protection locked="0"/>
    </xf>
    <xf numFmtId="3" fontId="25" fillId="5" borderId="96" xfId="0" applyNumberFormat="1" applyFont="1" applyFill="1" applyBorder="1" applyAlignment="1" applyProtection="1">
      <alignment horizontal="center" vertical="center"/>
      <protection locked="0"/>
    </xf>
    <xf numFmtId="3" fontId="25" fillId="5" borderId="97" xfId="0" applyNumberFormat="1" applyFont="1" applyFill="1" applyBorder="1" applyAlignment="1" applyProtection="1">
      <alignment horizontal="center" vertical="center"/>
      <protection locked="0"/>
    </xf>
    <xf numFmtId="0" fontId="25" fillId="5" borderId="75" xfId="0" applyNumberFormat="1" applyFont="1" applyFill="1" applyBorder="1" applyAlignment="1" applyProtection="1">
      <alignment horizontal="center" vertical="center"/>
      <protection locked="0"/>
    </xf>
    <xf numFmtId="3" fontId="25" fillId="5" borderId="75" xfId="0" applyNumberFormat="1" applyFont="1" applyFill="1" applyBorder="1" applyAlignment="1" applyProtection="1">
      <alignment horizontal="center" vertical="center"/>
      <protection locked="0"/>
    </xf>
    <xf numFmtId="3" fontId="25" fillId="5" borderId="16" xfId="0" applyNumberFormat="1" applyFont="1" applyFill="1" applyBorder="1" applyAlignment="1" applyProtection="1">
      <alignment horizontal="center" vertical="center"/>
      <protection locked="0"/>
    </xf>
    <xf numFmtId="0" fontId="25" fillId="5" borderId="65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108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107" xfId="0" applyNumberFormat="1" applyFont="1" applyFill="1" applyBorder="1" applyAlignment="1" applyProtection="1">
      <alignment horizontal="center" vertical="center" wrapText="1"/>
      <protection locked="0"/>
    </xf>
    <xf numFmtId="3" fontId="25" fillId="5" borderId="105" xfId="0" applyNumberFormat="1" applyFont="1" applyFill="1" applyBorder="1" applyAlignment="1" applyProtection="1">
      <alignment horizontal="center" vertical="center"/>
      <protection locked="0"/>
    </xf>
    <xf numFmtId="3" fontId="25" fillId="5" borderId="108" xfId="0" applyNumberFormat="1" applyFont="1" applyFill="1" applyBorder="1" applyAlignment="1" applyProtection="1">
      <alignment horizontal="center" vertical="center"/>
      <protection locked="0"/>
    </xf>
    <xf numFmtId="0" fontId="25" fillId="5" borderId="107" xfId="0" applyNumberFormat="1" applyFont="1" applyFill="1" applyBorder="1" applyAlignment="1" applyProtection="1">
      <alignment horizontal="center" vertical="center"/>
      <protection locked="0"/>
    </xf>
    <xf numFmtId="0" fontId="25" fillId="5" borderId="110" xfId="0" applyNumberFormat="1" applyFont="1" applyFill="1" applyBorder="1" applyAlignment="1" applyProtection="1">
      <alignment horizontal="center" vertical="center"/>
      <protection locked="0"/>
    </xf>
    <xf numFmtId="49" fontId="25" fillId="5" borderId="105" xfId="0" applyNumberFormat="1" applyFont="1" applyFill="1" applyBorder="1" applyAlignment="1" applyProtection="1">
      <alignment horizontal="center" vertical="center"/>
      <protection locked="0"/>
    </xf>
    <xf numFmtId="3" fontId="25" fillId="5" borderId="111" xfId="0" applyNumberFormat="1" applyFont="1" applyFill="1" applyBorder="1" applyAlignment="1" applyProtection="1">
      <alignment horizontal="center" vertical="center"/>
      <protection locked="0"/>
    </xf>
    <xf numFmtId="0" fontId="25" fillId="5" borderId="105" xfId="0" applyNumberFormat="1" applyFont="1" applyFill="1" applyBorder="1" applyAlignment="1" applyProtection="1">
      <alignment horizontal="center" vertical="center"/>
      <protection locked="0"/>
    </xf>
    <xf numFmtId="4" fontId="25" fillId="5" borderId="75" xfId="0" applyNumberFormat="1" applyFont="1" applyFill="1" applyBorder="1" applyAlignment="1" applyProtection="1">
      <alignment horizontal="center" vertical="center"/>
      <protection locked="0"/>
    </xf>
    <xf numFmtId="4" fontId="25" fillId="5" borderId="107" xfId="0" applyNumberFormat="1" applyFont="1" applyFill="1" applyBorder="1" applyAlignment="1" applyProtection="1">
      <alignment horizontal="center" vertical="center"/>
      <protection locked="0"/>
    </xf>
    <xf numFmtId="14" fontId="6" fillId="5" borderId="64" xfId="0" applyNumberFormat="1" applyFont="1" applyFill="1" applyBorder="1" applyAlignment="1" applyProtection="1">
      <alignment horizontal="center" vertical="center"/>
    </xf>
    <xf numFmtId="2" fontId="21" fillId="6" borderId="91" xfId="0" applyNumberFormat="1" applyFont="1" applyFill="1" applyBorder="1" applyAlignment="1">
      <alignment horizontal="center"/>
    </xf>
    <xf numFmtId="2" fontId="21" fillId="6" borderId="23" xfId="0" applyNumberFormat="1" applyFont="1" applyFill="1" applyBorder="1" applyAlignment="1">
      <alignment horizontal="center"/>
    </xf>
    <xf numFmtId="2" fontId="21" fillId="6" borderId="89" xfId="0" applyNumberFormat="1" applyFont="1" applyFill="1" applyBorder="1" applyAlignment="1">
      <alignment horizontal="center"/>
    </xf>
    <xf numFmtId="0" fontId="21" fillId="6" borderId="112" xfId="0" applyNumberFormat="1" applyFont="1" applyFill="1" applyBorder="1" applyAlignment="1">
      <alignment horizontal="left" wrapText="1"/>
    </xf>
    <xf numFmtId="0" fontId="21" fillId="6" borderId="22" xfId="0" applyNumberFormat="1" applyFont="1" applyFill="1" applyBorder="1" applyAlignment="1">
      <alignment horizontal="left" wrapText="1"/>
    </xf>
    <xf numFmtId="2" fontId="21" fillId="6" borderId="91" xfId="0" applyNumberFormat="1" applyFont="1" applyFill="1" applyBorder="1"/>
    <xf numFmtId="2" fontId="21" fillId="6" borderId="23" xfId="0" applyNumberFormat="1" applyFont="1" applyFill="1" applyBorder="1"/>
    <xf numFmtId="2" fontId="21" fillId="6" borderId="89" xfId="0" applyNumberFormat="1" applyFont="1" applyFill="1" applyBorder="1"/>
    <xf numFmtId="0" fontId="21" fillId="6" borderId="91" xfId="0" applyFont="1" applyFill="1" applyBorder="1"/>
    <xf numFmtId="0" fontId="21" fillId="6" borderId="23" xfId="0" applyFont="1" applyFill="1" applyBorder="1"/>
    <xf numFmtId="0" fontId="21" fillId="6" borderId="89" xfId="0" applyFont="1" applyFill="1" applyBorder="1"/>
    <xf numFmtId="165" fontId="21" fillId="5" borderId="91" xfId="0" applyNumberFormat="1" applyFont="1" applyFill="1" applyBorder="1"/>
    <xf numFmtId="165" fontId="21" fillId="5" borderId="23" xfId="0" applyNumberFormat="1" applyFont="1" applyFill="1" applyBorder="1"/>
    <xf numFmtId="165" fontId="21" fillId="5" borderId="89" xfId="0" applyNumberFormat="1" applyFont="1" applyFill="1" applyBorder="1"/>
    <xf numFmtId="0" fontId="21" fillId="5" borderId="91" xfId="0" applyFont="1" applyFill="1" applyBorder="1"/>
    <xf numFmtId="2" fontId="21" fillId="5" borderId="91" xfId="0" applyNumberFormat="1" applyFont="1" applyFill="1" applyBorder="1"/>
    <xf numFmtId="0" fontId="21" fillId="5" borderId="23" xfId="0" applyFont="1" applyFill="1" applyBorder="1"/>
    <xf numFmtId="2" fontId="21" fillId="5" borderId="23" xfId="0" applyNumberFormat="1" applyFont="1" applyFill="1" applyBorder="1"/>
    <xf numFmtId="0" fontId="21" fillId="5" borderId="89" xfId="0" applyFont="1" applyFill="1" applyBorder="1"/>
    <xf numFmtId="2" fontId="21" fillId="5" borderId="89" xfId="0" applyNumberFormat="1" applyFont="1" applyFill="1" applyBorder="1"/>
    <xf numFmtId="9" fontId="21" fillId="5" borderId="91" xfId="0" applyNumberFormat="1" applyFont="1" applyFill="1" applyBorder="1"/>
    <xf numFmtId="9" fontId="21" fillId="5" borderId="23" xfId="0" applyNumberFormat="1" applyFont="1" applyFill="1" applyBorder="1"/>
    <xf numFmtId="9" fontId="21" fillId="5" borderId="89" xfId="0" applyNumberFormat="1" applyFont="1" applyFill="1" applyBorder="1"/>
    <xf numFmtId="165" fontId="21" fillId="5" borderId="91" xfId="0" applyNumberFormat="1" applyFont="1" applyFill="1" applyBorder="1" applyAlignment="1">
      <alignment horizontal="center"/>
    </xf>
    <xf numFmtId="9" fontId="21" fillId="5" borderId="91" xfId="0" applyNumberFormat="1" applyFont="1" applyFill="1" applyBorder="1" applyAlignment="1">
      <alignment horizontal="center"/>
    </xf>
    <xf numFmtId="165" fontId="21" fillId="5" borderId="23" xfId="0" applyNumberFormat="1" applyFont="1" applyFill="1" applyBorder="1" applyAlignment="1">
      <alignment horizontal="center"/>
    </xf>
    <xf numFmtId="9" fontId="21" fillId="5" borderId="23" xfId="0" applyNumberFormat="1" applyFont="1" applyFill="1" applyBorder="1" applyAlignment="1">
      <alignment horizontal="center"/>
    </xf>
    <xf numFmtId="165" fontId="21" fillId="5" borderId="89" xfId="0" applyNumberFormat="1" applyFont="1" applyFill="1" applyBorder="1" applyAlignment="1">
      <alignment horizontal="center"/>
    </xf>
    <xf numFmtId="9" fontId="21" fillId="5" borderId="89" xfId="0" applyNumberFormat="1" applyFont="1" applyFill="1" applyBorder="1" applyAlignment="1">
      <alignment horizontal="center"/>
    </xf>
    <xf numFmtId="0" fontId="21" fillId="6" borderId="113" xfId="0" applyNumberFormat="1" applyFont="1" applyFill="1" applyBorder="1" applyAlignment="1">
      <alignment horizontal="left" wrapText="1"/>
    </xf>
    <xf numFmtId="2" fontId="25" fillId="5" borderId="115" xfId="0" applyNumberFormat="1" applyFont="1" applyFill="1" applyBorder="1" applyAlignment="1" applyProtection="1">
      <alignment horizontal="center" vertical="center"/>
      <protection locked="0"/>
    </xf>
    <xf numFmtId="49" fontId="25" fillId="5" borderId="74" xfId="0" applyNumberFormat="1" applyFont="1" applyFill="1" applyBorder="1" applyAlignment="1" applyProtection="1">
      <alignment horizontal="center" vertical="center" wrapText="1"/>
      <protection locked="0"/>
    </xf>
    <xf numFmtId="169" fontId="25" fillId="5" borderId="107" xfId="0" applyNumberFormat="1" applyFont="1" applyFill="1" applyBorder="1" applyAlignment="1" applyProtection="1">
      <alignment horizontal="center" vertical="center"/>
      <protection locked="0"/>
    </xf>
    <xf numFmtId="49" fontId="25" fillId="5" borderId="110" xfId="0" applyNumberFormat="1" applyFont="1" applyFill="1" applyBorder="1" applyAlignment="1" applyProtection="1">
      <alignment horizontal="center" vertical="center"/>
      <protection locked="0"/>
    </xf>
    <xf numFmtId="166" fontId="25" fillId="5" borderId="108" xfId="0" applyNumberFormat="1" applyFont="1" applyFill="1" applyBorder="1" applyAlignment="1" applyProtection="1">
      <alignment horizontal="center" vertical="center"/>
      <protection locked="0"/>
    </xf>
    <xf numFmtId="2" fontId="25" fillId="5" borderId="107" xfId="0" applyNumberFormat="1" applyFont="1" applyFill="1" applyBorder="1" applyAlignment="1" applyProtection="1">
      <alignment horizontal="center" vertical="center"/>
      <protection locked="0"/>
    </xf>
    <xf numFmtId="0" fontId="25" fillId="5" borderId="114" xfId="0" applyNumberFormat="1" applyFont="1" applyFill="1" applyBorder="1" applyAlignment="1" applyProtection="1">
      <alignment horizontal="center" vertical="center" wrapText="1"/>
      <protection locked="0"/>
    </xf>
    <xf numFmtId="165" fontId="25" fillId="5" borderId="115" xfId="0" applyNumberFormat="1" applyFont="1" applyFill="1" applyBorder="1" applyAlignment="1" applyProtection="1">
      <alignment horizontal="center" vertical="center"/>
      <protection locked="0"/>
    </xf>
    <xf numFmtId="2" fontId="25" fillId="6" borderId="117" xfId="0" applyNumberFormat="1" applyFont="1" applyFill="1" applyBorder="1" applyAlignment="1" applyProtection="1">
      <alignment horizontal="center" vertical="center"/>
    </xf>
    <xf numFmtId="0" fontId="25" fillId="5" borderId="74" xfId="0" applyNumberFormat="1" applyFont="1" applyFill="1" applyBorder="1" applyAlignment="1" applyProtection="1">
      <alignment horizontal="left" vertical="center" wrapText="1"/>
      <protection locked="0"/>
    </xf>
    <xf numFmtId="169" fontId="25" fillId="5" borderId="105" xfId="0" applyNumberFormat="1" applyFont="1" applyFill="1" applyBorder="1" applyAlignment="1" applyProtection="1">
      <alignment horizontal="center" vertical="center"/>
      <protection locked="0"/>
    </xf>
    <xf numFmtId="2" fontId="25" fillId="6" borderId="116" xfId="0" applyNumberFormat="1" applyFont="1" applyFill="1" applyBorder="1" applyAlignment="1" applyProtection="1">
      <alignment horizontal="center" vertical="center"/>
    </xf>
    <xf numFmtId="2" fontId="25" fillId="6" borderId="99" xfId="0" applyNumberFormat="1" applyFont="1" applyFill="1" applyBorder="1" applyAlignment="1" applyProtection="1">
      <alignment horizontal="center" vertical="center"/>
    </xf>
    <xf numFmtId="0" fontId="39" fillId="2" borderId="0" xfId="0" applyFont="1" applyFill="1" applyProtection="1"/>
    <xf numFmtId="0" fontId="39" fillId="2" borderId="0" xfId="0" applyFont="1" applyFill="1" applyBorder="1" applyProtection="1"/>
    <xf numFmtId="0" fontId="39" fillId="2" borderId="4" xfId="0" applyFont="1" applyFill="1" applyBorder="1" applyProtection="1"/>
    <xf numFmtId="0" fontId="40" fillId="2" borderId="0" xfId="0" applyFont="1" applyFill="1" applyAlignment="1" applyProtection="1">
      <alignment textRotation="90"/>
    </xf>
    <xf numFmtId="0" fontId="39" fillId="2" borderId="0" xfId="0" applyFont="1" applyFill="1" applyAlignment="1" applyProtection="1">
      <alignment textRotation="90"/>
    </xf>
    <xf numFmtId="0" fontId="39" fillId="2" borderId="0" xfId="0" applyFont="1" applyFill="1" applyAlignment="1" applyProtection="1">
      <alignment vertical="center" textRotation="90"/>
    </xf>
    <xf numFmtId="2" fontId="21" fillId="0" borderId="0" xfId="0" applyNumberFormat="1" applyFont="1" applyProtection="1"/>
    <xf numFmtId="0" fontId="34" fillId="0" borderId="0" xfId="0" applyFont="1" applyProtection="1"/>
    <xf numFmtId="0" fontId="39" fillId="0" borderId="0" xfId="0" applyFont="1" applyFill="1" applyProtection="1"/>
    <xf numFmtId="0" fontId="39" fillId="0" borderId="0" xfId="0" applyFont="1" applyAlignment="1" applyProtection="1">
      <alignment wrapText="1"/>
    </xf>
    <xf numFmtId="0" fontId="21" fillId="0" borderId="118" xfId="0" pivotButton="1" applyFont="1" applyBorder="1"/>
    <xf numFmtId="0" fontId="21" fillId="0" borderId="119" xfId="0" applyFont="1" applyBorder="1"/>
    <xf numFmtId="169" fontId="28" fillId="6" borderId="120" xfId="0" applyNumberFormat="1" applyFont="1" applyFill="1" applyBorder="1" applyAlignment="1" applyProtection="1">
      <alignment horizontal="center" vertical="center"/>
    </xf>
    <xf numFmtId="169" fontId="28" fillId="6" borderId="109" xfId="0" applyNumberFormat="1" applyFont="1" applyFill="1" applyBorder="1" applyAlignment="1" applyProtection="1">
      <alignment horizontal="center" vertical="center"/>
    </xf>
    <xf numFmtId="169" fontId="28" fillId="6" borderId="81" xfId="0" applyNumberFormat="1" applyFont="1" applyFill="1" applyBorder="1" applyAlignment="1" applyProtection="1">
      <alignment horizontal="center" vertical="center"/>
    </xf>
    <xf numFmtId="169" fontId="28" fillId="6" borderId="82" xfId="0" applyNumberFormat="1" applyFont="1" applyFill="1" applyBorder="1" applyAlignment="1" applyProtection="1">
      <alignment horizontal="center" vertical="center"/>
    </xf>
    <xf numFmtId="2" fontId="28" fillId="6" borderId="81" xfId="0" applyNumberFormat="1" applyFont="1" applyFill="1" applyBorder="1" applyAlignment="1" applyProtection="1">
      <alignment horizontal="center" vertical="center"/>
    </xf>
    <xf numFmtId="2" fontId="28" fillId="6" borderId="82" xfId="0" applyNumberFormat="1" applyFont="1" applyFill="1" applyBorder="1" applyAlignment="1" applyProtection="1">
      <alignment horizontal="center" vertical="center"/>
    </xf>
    <xf numFmtId="2" fontId="28" fillId="6" borderId="120" xfId="0" applyNumberFormat="1" applyFont="1" applyFill="1" applyBorder="1" applyAlignment="1" applyProtection="1">
      <alignment horizontal="center" vertical="center"/>
    </xf>
    <xf numFmtId="3" fontId="28" fillId="6" borderId="109" xfId="0" applyNumberFormat="1" applyFont="1" applyFill="1" applyBorder="1" applyAlignment="1" applyProtection="1">
      <alignment horizontal="center" vertical="center"/>
    </xf>
    <xf numFmtId="4" fontId="28" fillId="6" borderId="81" xfId="0" applyNumberFormat="1" applyFont="1" applyFill="1" applyBorder="1" applyAlignment="1" applyProtection="1">
      <alignment horizontal="center" vertical="center"/>
    </xf>
    <xf numFmtId="3" fontId="28" fillId="6" borderId="120" xfId="0" applyNumberFormat="1" applyFont="1" applyFill="1" applyBorder="1" applyAlignment="1" applyProtection="1">
      <alignment horizontal="center" vertical="center"/>
    </xf>
    <xf numFmtId="4" fontId="28" fillId="6" borderId="82" xfId="0" applyNumberFormat="1" applyFont="1" applyFill="1" applyBorder="1" applyAlignment="1" applyProtection="1">
      <alignment horizontal="center" vertical="center"/>
    </xf>
    <xf numFmtId="0" fontId="38" fillId="7" borderId="23" xfId="0" applyFont="1" applyFill="1" applyBorder="1" applyAlignment="1">
      <alignment horizontal="center" vertical="center"/>
    </xf>
    <xf numFmtId="0" fontId="41" fillId="0" borderId="0" xfId="0" applyFont="1" applyFill="1" applyAlignment="1">
      <alignment horizontal="center"/>
    </xf>
    <xf numFmtId="0" fontId="41" fillId="0" borderId="0" xfId="0" applyFont="1" applyFill="1" applyAlignment="1">
      <alignment horizontal="center" wrapText="1"/>
    </xf>
    <xf numFmtId="0" fontId="42" fillId="0" borderId="0" xfId="0" applyFont="1" applyFill="1"/>
    <xf numFmtId="0" fontId="42" fillId="0" borderId="0" xfId="0" applyFont="1"/>
    <xf numFmtId="0" fontId="42" fillId="7" borderId="23" xfId="0" applyFont="1" applyFill="1" applyBorder="1" applyAlignment="1">
      <alignment vertical="top"/>
    </xf>
    <xf numFmtId="0" fontId="42" fillId="7" borderId="23" xfId="0" applyFont="1" applyFill="1" applyBorder="1" applyAlignment="1">
      <alignment vertical="top" wrapText="1"/>
    </xf>
    <xf numFmtId="0" fontId="42" fillId="0" borderId="0" xfId="0" applyFont="1" applyAlignment="1">
      <alignment vertical="top"/>
    </xf>
    <xf numFmtId="0" fontId="38" fillId="7" borderId="23" xfId="0" applyFont="1" applyFill="1" applyBorder="1"/>
    <xf numFmtId="0" fontId="42" fillId="0" borderId="23" xfId="0" applyFont="1" applyBorder="1"/>
    <xf numFmtId="0" fontId="42" fillId="0" borderId="0" xfId="0" applyFont="1" applyAlignment="1">
      <alignment wrapText="1"/>
    </xf>
    <xf numFmtId="0" fontId="42" fillId="0" borderId="0" xfId="0" applyFont="1" applyAlignment="1">
      <alignment horizontal="center" vertical="center"/>
    </xf>
    <xf numFmtId="0" fontId="42" fillId="0" borderId="23" xfId="0" applyFont="1" applyBorder="1" applyAlignment="1">
      <alignment horizontal="center" vertical="center" wrapText="1"/>
    </xf>
    <xf numFmtId="0" fontId="42" fillId="0" borderId="23" xfId="0" applyFont="1" applyBorder="1" applyAlignment="1">
      <alignment horizontal="center" vertical="center"/>
    </xf>
    <xf numFmtId="0" fontId="42" fillId="7" borderId="23" xfId="0" applyFont="1" applyFill="1" applyBorder="1"/>
    <xf numFmtId="0" fontId="21" fillId="2" borderId="19" xfId="0" applyFont="1" applyFill="1" applyBorder="1" applyProtection="1">
      <protection locked="0"/>
    </xf>
    <xf numFmtId="0" fontId="25" fillId="5" borderId="116" xfId="0" applyNumberFormat="1" applyFont="1" applyFill="1" applyBorder="1" applyAlignment="1" applyProtection="1">
      <alignment horizontal="left" vertical="center" wrapText="1"/>
      <protection locked="0"/>
    </xf>
    <xf numFmtId="0" fontId="28" fillId="0" borderId="1" xfId="0" applyNumberFormat="1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/>
    </xf>
    <xf numFmtId="2" fontId="28" fillId="0" borderId="4" xfId="0" applyNumberFormat="1" applyFont="1" applyFill="1" applyBorder="1" applyAlignment="1" applyProtection="1">
      <alignment horizontal="center" vertical="center"/>
    </xf>
    <xf numFmtId="2" fontId="28" fillId="0" borderId="121" xfId="0" applyNumberFormat="1" applyFont="1" applyFill="1" applyBorder="1" applyAlignment="1" applyProtection="1">
      <alignment horizontal="center" vertical="center"/>
    </xf>
    <xf numFmtId="2" fontId="28" fillId="0" borderId="0" xfId="0" applyNumberFormat="1" applyFont="1" applyFill="1" applyBorder="1" applyAlignment="1" applyProtection="1">
      <alignment horizontal="center" vertical="center"/>
    </xf>
    <xf numFmtId="0" fontId="28" fillId="0" borderId="122" xfId="0" applyFont="1" applyFill="1" applyBorder="1" applyAlignment="1" applyProtection="1">
      <alignment horizontal="center" vertical="center"/>
    </xf>
    <xf numFmtId="2" fontId="28" fillId="0" borderId="122" xfId="0" applyNumberFormat="1" applyFont="1" applyFill="1" applyBorder="1" applyAlignment="1" applyProtection="1">
      <alignment horizontal="center" vertical="center"/>
    </xf>
    <xf numFmtId="0" fontId="28" fillId="0" borderId="4" xfId="0" applyFont="1" applyFill="1" applyBorder="1" applyAlignment="1" applyProtection="1">
      <alignment horizontal="center" vertical="center"/>
    </xf>
    <xf numFmtId="0" fontId="28" fillId="0" borderId="121" xfId="0" applyFont="1" applyFill="1" applyBorder="1" applyAlignment="1" applyProtection="1">
      <alignment horizontal="center" vertical="center"/>
    </xf>
    <xf numFmtId="0" fontId="28" fillId="0" borderId="0" xfId="0" applyFont="1" applyFill="1" applyBorder="1" applyAlignment="1" applyProtection="1">
      <alignment horizontal="center" vertical="center"/>
    </xf>
    <xf numFmtId="0" fontId="28" fillId="0" borderId="123" xfId="0" applyFont="1" applyFill="1" applyBorder="1" applyAlignment="1" applyProtection="1">
      <alignment horizontal="center" vertical="center"/>
    </xf>
    <xf numFmtId="0" fontId="28" fillId="0" borderId="6" xfId="0" applyFont="1" applyFill="1" applyBorder="1" applyAlignment="1" applyProtection="1">
      <alignment horizontal="center" vertical="center" wrapText="1"/>
    </xf>
    <xf numFmtId="0" fontId="28" fillId="0" borderId="8" xfId="0" applyFont="1" applyFill="1" applyBorder="1" applyAlignment="1" applyProtection="1">
      <alignment horizontal="center" vertical="center" wrapText="1"/>
    </xf>
    <xf numFmtId="0" fontId="28" fillId="0" borderId="7" xfId="0" applyFont="1" applyFill="1" applyBorder="1" applyAlignment="1" applyProtection="1">
      <alignment horizontal="center" vertical="center" wrapText="1"/>
    </xf>
    <xf numFmtId="2" fontId="28" fillId="0" borderId="123" xfId="0" applyNumberFormat="1" applyFont="1" applyFill="1" applyBorder="1" applyAlignment="1" applyProtection="1">
      <alignment horizontal="center" vertical="center"/>
    </xf>
    <xf numFmtId="1" fontId="28" fillId="5" borderId="25" xfId="0" applyNumberFormat="1" applyFont="1" applyFill="1" applyBorder="1" applyAlignment="1" applyProtection="1">
      <alignment horizontal="center" vertical="center"/>
      <protection locked="0"/>
    </xf>
    <xf numFmtId="1" fontId="28" fillId="5" borderId="124" xfId="0" applyNumberFormat="1" applyFont="1" applyFill="1" applyBorder="1" applyAlignment="1" applyProtection="1">
      <alignment horizontal="center" vertical="center"/>
      <protection locked="0"/>
    </xf>
    <xf numFmtId="3" fontId="28" fillId="5" borderId="25" xfId="0" applyNumberFormat="1" applyFont="1" applyFill="1" applyBorder="1" applyAlignment="1" applyProtection="1">
      <alignment horizontal="center" vertical="center"/>
      <protection locked="0"/>
    </xf>
    <xf numFmtId="3" fontId="28" fillId="5" borderId="124" xfId="0" applyNumberFormat="1" applyFont="1" applyFill="1" applyBorder="1" applyAlignment="1" applyProtection="1">
      <alignment horizontal="center" vertical="center"/>
      <protection locked="0"/>
    </xf>
    <xf numFmtId="0" fontId="21" fillId="2" borderId="7" xfId="0" applyFont="1" applyFill="1" applyBorder="1" applyProtection="1"/>
    <xf numFmtId="0" fontId="21" fillId="2" borderId="3" xfId="0" applyFont="1" applyFill="1" applyBorder="1" applyProtection="1"/>
    <xf numFmtId="0" fontId="28" fillId="2" borderId="29" xfId="0" applyFont="1" applyFill="1" applyBorder="1" applyAlignment="1" applyProtection="1">
      <alignment horizontal="left" vertical="center"/>
    </xf>
    <xf numFmtId="165" fontId="43" fillId="5" borderId="96" xfId="0" applyNumberFormat="1" applyFont="1" applyFill="1" applyBorder="1" applyAlignment="1" applyProtection="1">
      <alignment horizontal="center" vertical="center"/>
      <protection locked="0"/>
    </xf>
    <xf numFmtId="165" fontId="43" fillId="5" borderId="98" xfId="0" applyNumberFormat="1" applyFont="1" applyFill="1" applyBorder="1" applyAlignment="1" applyProtection="1">
      <alignment horizontal="center" vertical="center"/>
      <protection locked="0"/>
    </xf>
    <xf numFmtId="165" fontId="43" fillId="5" borderId="105" xfId="0" applyNumberFormat="1" applyFont="1" applyFill="1" applyBorder="1" applyAlignment="1" applyProtection="1">
      <alignment horizontal="center" vertical="center"/>
      <protection locked="0"/>
    </xf>
    <xf numFmtId="172" fontId="25" fillId="5" borderId="75" xfId="0" applyNumberFormat="1" applyFont="1" applyFill="1" applyBorder="1" applyAlignment="1" applyProtection="1">
      <alignment horizontal="center" vertical="center"/>
      <protection locked="0"/>
    </xf>
    <xf numFmtId="0" fontId="44" fillId="0" borderId="0" xfId="0" applyFont="1"/>
    <xf numFmtId="0" fontId="13" fillId="0" borderId="0" xfId="0" applyFont="1"/>
    <xf numFmtId="0" fontId="42" fillId="0" borderId="23" xfId="0" applyFont="1" applyBorder="1" applyAlignment="1">
      <alignment vertical="top"/>
    </xf>
    <xf numFmtId="0" fontId="42" fillId="0" borderId="0" xfId="0" applyFont="1" applyFill="1" applyAlignment="1">
      <alignment horizontal="center" vertical="center"/>
    </xf>
    <xf numFmtId="0" fontId="42" fillId="9" borderId="23" xfId="0" applyFont="1" applyFill="1" applyBorder="1" applyAlignment="1">
      <alignment horizontal="center" vertical="center" wrapText="1"/>
    </xf>
    <xf numFmtId="0" fontId="42" fillId="9" borderId="23" xfId="0" applyFont="1" applyFill="1" applyBorder="1" applyAlignment="1">
      <alignment horizontal="center" vertical="center"/>
    </xf>
    <xf numFmtId="0" fontId="39" fillId="0" borderId="0" xfId="0" applyFont="1" applyAlignment="1" applyProtection="1">
      <alignment horizontal="center" vertical="center"/>
    </xf>
    <xf numFmtId="0" fontId="39" fillId="2" borderId="0" xfId="0" applyFont="1" applyFill="1" applyAlignment="1" applyProtection="1">
      <alignment horizontal="center" vertical="center"/>
    </xf>
    <xf numFmtId="0" fontId="45" fillId="2" borderId="0" xfId="0" applyFont="1" applyFill="1" applyAlignment="1" applyProtection="1">
      <alignment horizontal="center" vertical="center" textRotation="90" wrapText="1"/>
    </xf>
    <xf numFmtId="164" fontId="40" fillId="0" borderId="0" xfId="0" applyNumberFormat="1" applyFont="1" applyFill="1" applyBorder="1" applyAlignment="1" applyProtection="1">
      <alignment horizontal="center" vertical="center"/>
    </xf>
    <xf numFmtId="0" fontId="9" fillId="0" borderId="0" xfId="9" applyFont="1" applyFill="1" applyBorder="1"/>
    <xf numFmtId="168" fontId="9" fillId="0" borderId="68" xfId="10" applyNumberFormat="1" applyFont="1" applyFill="1" applyBorder="1"/>
    <xf numFmtId="0" fontId="0" fillId="0" borderId="92" xfId="0" applyBorder="1"/>
    <xf numFmtId="168" fontId="9" fillId="0" borderId="69" xfId="10" applyNumberFormat="1" applyFont="1" applyFill="1" applyBorder="1"/>
    <xf numFmtId="0" fontId="0" fillId="0" borderId="125" xfId="0" applyFill="1" applyBorder="1"/>
    <xf numFmtId="0" fontId="9" fillId="0" borderId="125" xfId="11" applyFont="1" applyFill="1" applyBorder="1"/>
    <xf numFmtId="0" fontId="13" fillId="0" borderId="69" xfId="0" applyFont="1" applyBorder="1" applyAlignment="1">
      <alignment wrapText="1"/>
    </xf>
    <xf numFmtId="168" fontId="9" fillId="0" borderId="67" xfId="10" applyNumberFormat="1" applyFont="1" applyFill="1" applyBorder="1"/>
    <xf numFmtId="0" fontId="0" fillId="0" borderId="126" xfId="0" applyFill="1" applyBorder="1"/>
    <xf numFmtId="0" fontId="9" fillId="0" borderId="68" xfId="10" applyFill="1" applyBorder="1"/>
    <xf numFmtId="0" fontId="9" fillId="0" borderId="69" xfId="10" applyFill="1" applyBorder="1"/>
    <xf numFmtId="0" fontId="9" fillId="0" borderId="69" xfId="10" applyFont="1" applyFill="1" applyBorder="1"/>
    <xf numFmtId="0" fontId="9" fillId="0" borderId="69" xfId="14" applyFont="1" applyFill="1" applyBorder="1" applyAlignment="1">
      <alignment horizontal="left" vertical="top"/>
    </xf>
    <xf numFmtId="0" fontId="9" fillId="0" borderId="67" xfId="10" applyFill="1" applyBorder="1"/>
    <xf numFmtId="0" fontId="38" fillId="10" borderId="23" xfId="0" applyFont="1" applyFill="1" applyBorder="1" applyAlignment="1">
      <alignment wrapText="1"/>
    </xf>
    <xf numFmtId="0" fontId="42" fillId="11" borderId="23" xfId="0" applyFont="1" applyFill="1" applyBorder="1" applyAlignment="1">
      <alignment vertical="top"/>
    </xf>
    <xf numFmtId="0" fontId="38" fillId="11" borderId="23" xfId="0" applyFont="1" applyFill="1" applyBorder="1" applyAlignment="1">
      <alignment horizontal="left"/>
    </xf>
    <xf numFmtId="0" fontId="38" fillId="11" borderId="23" xfId="0" applyFont="1" applyFill="1" applyBorder="1"/>
    <xf numFmtId="0" fontId="38" fillId="11" borderId="23" xfId="0" applyFont="1" applyFill="1" applyBorder="1" applyAlignment="1">
      <alignment wrapText="1"/>
    </xf>
    <xf numFmtId="0" fontId="38" fillId="11" borderId="23" xfId="0" applyFont="1" applyFill="1" applyBorder="1" applyAlignment="1">
      <alignment horizontal="left" vertical="top"/>
    </xf>
    <xf numFmtId="0" fontId="46" fillId="11" borderId="23" xfId="0" applyFont="1" applyFill="1" applyBorder="1" applyAlignment="1">
      <alignment vertical="top"/>
    </xf>
    <xf numFmtId="0" fontId="47" fillId="11" borderId="23" xfId="0" applyFont="1" applyFill="1" applyBorder="1" applyAlignment="1">
      <alignment horizontal="left"/>
    </xf>
    <xf numFmtId="0" fontId="38" fillId="12" borderId="23" xfId="0" applyFont="1" applyFill="1" applyBorder="1" applyAlignment="1">
      <alignment wrapText="1"/>
    </xf>
    <xf numFmtId="0" fontId="38" fillId="10" borderId="23" xfId="0" applyFont="1" applyFill="1" applyBorder="1" applyAlignment="1">
      <alignment horizontal="center" vertical="center"/>
    </xf>
    <xf numFmtId="0" fontId="42" fillId="11" borderId="23" xfId="0" applyFont="1" applyFill="1" applyBorder="1"/>
    <xf numFmtId="0" fontId="42" fillId="11" borderId="23" xfId="0" applyFont="1" applyFill="1" applyBorder="1" applyAlignment="1">
      <alignment horizontal="center" vertical="center"/>
    </xf>
    <xf numFmtId="0" fontId="38" fillId="11" borderId="23" xfId="0" applyFont="1" applyFill="1" applyBorder="1" applyAlignment="1">
      <alignment horizontal="center" vertical="center"/>
    </xf>
    <xf numFmtId="0" fontId="38" fillId="11" borderId="69" xfId="0" applyFont="1" applyFill="1" applyBorder="1" applyAlignment="1">
      <alignment horizontal="left"/>
    </xf>
    <xf numFmtId="0" fontId="42" fillId="9" borderId="0" xfId="0" applyFont="1" applyFill="1" applyAlignment="1">
      <alignment horizontal="center" vertical="center"/>
    </xf>
    <xf numFmtId="0" fontId="28" fillId="5" borderId="25" xfId="0" applyNumberFormat="1" applyFont="1" applyFill="1" applyBorder="1" applyAlignment="1" applyProtection="1">
      <alignment horizontal="center" vertical="center"/>
      <protection locked="0"/>
    </xf>
    <xf numFmtId="0" fontId="28" fillId="5" borderId="26" xfId="0" applyNumberFormat="1" applyFont="1" applyFill="1" applyBorder="1" applyAlignment="1" applyProtection="1">
      <alignment horizontal="center" vertical="center"/>
      <protection locked="0"/>
    </xf>
    <xf numFmtId="49" fontId="28" fillId="2" borderId="24" xfId="0" applyNumberFormat="1" applyFont="1" applyFill="1" applyBorder="1" applyAlignment="1" applyProtection="1">
      <alignment horizontal="center" vertical="center"/>
    </xf>
    <xf numFmtId="0" fontId="28" fillId="2" borderId="48" xfId="0" applyFont="1" applyFill="1" applyBorder="1" applyAlignment="1" applyProtection="1">
      <alignment vertical="center"/>
    </xf>
    <xf numFmtId="0" fontId="28" fillId="2" borderId="48" xfId="0" applyFont="1" applyFill="1" applyBorder="1" applyAlignment="1" applyProtection="1">
      <alignment horizontal="center" vertical="center"/>
    </xf>
    <xf numFmtId="0" fontId="28" fillId="2" borderId="48" xfId="0" applyFont="1" applyFill="1" applyBorder="1" applyAlignment="1" applyProtection="1">
      <alignment horizontal="right" vertical="center"/>
    </xf>
    <xf numFmtId="0" fontId="30" fillId="2" borderId="30" xfId="0" applyFont="1" applyFill="1" applyBorder="1" applyAlignment="1" applyProtection="1">
      <alignment vertical="center"/>
    </xf>
    <xf numFmtId="0" fontId="28" fillId="2" borderId="31" xfId="0" applyFont="1" applyFill="1" applyBorder="1" applyAlignment="1" applyProtection="1">
      <alignment horizontal="center" vertical="center"/>
    </xf>
    <xf numFmtId="3" fontId="21" fillId="5" borderId="31" xfId="0" applyNumberFormat="1" applyFont="1" applyFill="1" applyBorder="1" applyAlignment="1" applyProtection="1">
      <alignment horizontal="right" vertical="center"/>
      <protection locked="0"/>
    </xf>
    <xf numFmtId="4" fontId="21" fillId="5" borderId="32" xfId="0" applyNumberFormat="1" applyFont="1" applyFill="1" applyBorder="1" applyAlignment="1" applyProtection="1">
      <alignment horizontal="right" vertical="center"/>
      <protection locked="0"/>
    </xf>
    <xf numFmtId="4" fontId="21" fillId="6" borderId="86" xfId="0" applyNumberFormat="1" applyFont="1" applyFill="1" applyBorder="1" applyAlignment="1" applyProtection="1">
      <alignment horizontal="right" vertical="center"/>
      <protection locked="0"/>
    </xf>
    <xf numFmtId="0" fontId="30" fillId="2" borderId="65" xfId="0" applyFont="1" applyFill="1" applyBorder="1" applyAlignment="1" applyProtection="1">
      <alignment vertical="center"/>
    </xf>
    <xf numFmtId="0" fontId="30" fillId="2" borderId="111" xfId="0" applyFont="1" applyFill="1" applyBorder="1" applyAlignment="1" applyProtection="1">
      <alignment vertical="center"/>
    </xf>
    <xf numFmtId="0" fontId="21" fillId="2" borderId="111" xfId="0" applyFont="1" applyFill="1" applyBorder="1" applyAlignment="1" applyProtection="1">
      <alignment vertical="center"/>
    </xf>
    <xf numFmtId="0" fontId="28" fillId="2" borderId="111" xfId="0" applyFont="1" applyFill="1" applyBorder="1" applyAlignment="1" applyProtection="1">
      <alignment horizontal="right" vertical="center"/>
    </xf>
    <xf numFmtId="4" fontId="21" fillId="6" borderId="127" xfId="0" applyNumberFormat="1" applyFont="1" applyFill="1" applyBorder="1" applyAlignment="1" applyProtection="1">
      <alignment horizontal="right" vertical="center"/>
      <protection locked="0"/>
    </xf>
    <xf numFmtId="2" fontId="0" fillId="0" borderId="12" xfId="0" applyNumberFormat="1" applyBorder="1"/>
    <xf numFmtId="169" fontId="25" fillId="6" borderId="36" xfId="0" applyNumberFormat="1" applyFont="1" applyFill="1" applyBorder="1" applyAlignment="1" applyProtection="1">
      <alignment horizontal="center" vertical="center"/>
    </xf>
    <xf numFmtId="0" fontId="25" fillId="5" borderId="136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137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138" xfId="0" applyNumberFormat="1" applyFont="1" applyFill="1" applyBorder="1" applyAlignment="1" applyProtection="1">
      <alignment horizontal="center" vertical="center" wrapText="1"/>
      <protection locked="0"/>
    </xf>
    <xf numFmtId="169" fontId="25" fillId="5" borderId="139" xfId="0" applyNumberFormat="1" applyFont="1" applyFill="1" applyBorder="1" applyAlignment="1" applyProtection="1">
      <alignment horizontal="center" vertical="center"/>
      <protection locked="0"/>
    </xf>
    <xf numFmtId="49" fontId="25" fillId="5" borderId="136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137" xfId="0" applyNumberFormat="1" applyFont="1" applyFill="1" applyBorder="1" applyAlignment="1" applyProtection="1">
      <alignment horizontal="center" vertical="center"/>
      <protection locked="0"/>
    </xf>
    <xf numFmtId="49" fontId="25" fillId="5" borderId="140" xfId="0" applyNumberFormat="1" applyFont="1" applyFill="1" applyBorder="1" applyAlignment="1" applyProtection="1">
      <alignment horizontal="center" vertical="center"/>
      <protection locked="0"/>
    </xf>
    <xf numFmtId="2" fontId="25" fillId="5" borderId="137" xfId="0" applyNumberFormat="1" applyFont="1" applyFill="1" applyBorder="1" applyAlignment="1" applyProtection="1">
      <alignment horizontal="center" vertical="center"/>
      <protection locked="0"/>
    </xf>
    <xf numFmtId="166" fontId="25" fillId="5" borderId="138" xfId="0" applyNumberFormat="1" applyFont="1" applyFill="1" applyBorder="1" applyAlignment="1" applyProtection="1">
      <alignment horizontal="center" vertical="center"/>
      <protection locked="0"/>
    </xf>
    <xf numFmtId="169" fontId="25" fillId="6" borderId="139" xfId="0" applyNumberFormat="1" applyFont="1" applyFill="1" applyBorder="1" applyAlignment="1" applyProtection="1">
      <alignment horizontal="center" vertical="center"/>
    </xf>
    <xf numFmtId="0" fontId="25" fillId="5" borderId="136" xfId="0" applyNumberFormat="1" applyFont="1" applyFill="1" applyBorder="1" applyAlignment="1" applyProtection="1">
      <alignment horizontal="center" vertical="center"/>
      <protection locked="0"/>
    </xf>
    <xf numFmtId="0" fontId="25" fillId="5" borderId="137" xfId="0" applyNumberFormat="1" applyFont="1" applyFill="1" applyBorder="1" applyAlignment="1" applyProtection="1">
      <alignment horizontal="center" vertical="center"/>
      <protection locked="0"/>
    </xf>
    <xf numFmtId="2" fontId="25" fillId="5" borderId="139" xfId="0" applyNumberFormat="1" applyFont="1" applyFill="1" applyBorder="1" applyAlignment="1" applyProtection="1">
      <alignment horizontal="center" vertical="center"/>
      <protection locked="0"/>
    </xf>
    <xf numFmtId="0" fontId="25" fillId="5" borderId="140" xfId="0" applyNumberFormat="1" applyFont="1" applyFill="1" applyBorder="1" applyAlignment="1" applyProtection="1">
      <alignment horizontal="center" vertical="center"/>
      <protection locked="0"/>
    </xf>
    <xf numFmtId="166" fontId="25" fillId="5" borderId="136" xfId="0" applyNumberFormat="1" applyFont="1" applyFill="1" applyBorder="1" applyAlignment="1" applyProtection="1">
      <alignment horizontal="center" vertical="center"/>
      <protection locked="0"/>
    </xf>
    <xf numFmtId="0" fontId="25" fillId="5" borderId="63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35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33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63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33" xfId="0" applyNumberFormat="1" applyFont="1" applyFill="1" applyBorder="1" applyAlignment="1" applyProtection="1">
      <alignment horizontal="center" vertical="center"/>
      <protection locked="0"/>
    </xf>
    <xf numFmtId="2" fontId="25" fillId="5" borderId="36" xfId="0" applyNumberFormat="1" applyFont="1" applyFill="1" applyBorder="1" applyAlignment="1" applyProtection="1">
      <alignment horizontal="center" vertical="center"/>
      <protection locked="0"/>
    </xf>
    <xf numFmtId="49" fontId="25" fillId="5" borderId="44" xfId="0" applyNumberFormat="1" applyFont="1" applyFill="1" applyBorder="1" applyAlignment="1" applyProtection="1">
      <alignment horizontal="center" vertical="center"/>
      <protection locked="0"/>
    </xf>
    <xf numFmtId="2" fontId="25" fillId="5" borderId="33" xfId="0" applyNumberFormat="1" applyFont="1" applyFill="1" applyBorder="1" applyAlignment="1" applyProtection="1">
      <alignment horizontal="center" vertical="center"/>
      <protection locked="0"/>
    </xf>
    <xf numFmtId="166" fontId="25" fillId="5" borderId="35" xfId="0" applyNumberFormat="1" applyFont="1" applyFill="1" applyBorder="1" applyAlignment="1" applyProtection="1">
      <alignment horizontal="center" vertical="center"/>
      <protection locked="0"/>
    </xf>
    <xf numFmtId="0" fontId="25" fillId="5" borderId="63" xfId="0" applyNumberFormat="1" applyFont="1" applyFill="1" applyBorder="1" applyAlignment="1" applyProtection="1">
      <alignment horizontal="center" vertical="center"/>
      <protection locked="0"/>
    </xf>
    <xf numFmtId="0" fontId="25" fillId="5" borderId="33" xfId="0" applyNumberFormat="1" applyFont="1" applyFill="1" applyBorder="1" applyAlignment="1" applyProtection="1">
      <alignment horizontal="center" vertical="center"/>
      <protection locked="0"/>
    </xf>
    <xf numFmtId="0" fontId="25" fillId="5" borderId="44" xfId="0" applyNumberFormat="1" applyFont="1" applyFill="1" applyBorder="1" applyAlignment="1" applyProtection="1">
      <alignment horizontal="center" vertical="center"/>
      <protection locked="0"/>
    </xf>
    <xf numFmtId="166" fontId="25" fillId="5" borderId="63" xfId="0" applyNumberFormat="1" applyFont="1" applyFill="1" applyBorder="1" applyAlignment="1" applyProtection="1">
      <alignment horizontal="center" vertical="center"/>
      <protection locked="0"/>
    </xf>
    <xf numFmtId="2" fontId="21" fillId="5" borderId="141" xfId="0" applyNumberFormat="1" applyFont="1" applyFill="1" applyBorder="1" applyAlignment="1" applyProtection="1">
      <alignment horizontal="right" vertical="center"/>
      <protection locked="0"/>
    </xf>
    <xf numFmtId="0" fontId="21" fillId="2" borderId="31" xfId="0" applyFont="1" applyFill="1" applyBorder="1" applyProtection="1"/>
    <xf numFmtId="2" fontId="21" fillId="5" borderId="142" xfId="0" applyNumberFormat="1" applyFont="1" applyFill="1" applyBorder="1" applyAlignment="1" applyProtection="1">
      <alignment horizontal="right" vertical="center"/>
      <protection locked="0"/>
    </xf>
    <xf numFmtId="0" fontId="11" fillId="2" borderId="0" xfId="5" applyFill="1" applyBorder="1" applyAlignment="1" applyProtection="1">
      <alignment horizontal="left"/>
    </xf>
    <xf numFmtId="0" fontId="50" fillId="0" borderId="0" xfId="0" applyFont="1"/>
    <xf numFmtId="0" fontId="51" fillId="0" borderId="0" xfId="0" applyFont="1"/>
    <xf numFmtId="0" fontId="52" fillId="0" borderId="0" xfId="0" applyFont="1" applyAlignment="1">
      <alignment vertical="center" wrapText="1"/>
    </xf>
    <xf numFmtId="0" fontId="11" fillId="0" borderId="0" xfId="5" applyAlignment="1" applyProtection="1"/>
    <xf numFmtId="0" fontId="21" fillId="2" borderId="0" xfId="0" applyFont="1" applyFill="1"/>
    <xf numFmtId="0" fontId="21" fillId="0" borderId="23" xfId="0" applyFont="1" applyBorder="1"/>
    <xf numFmtId="2" fontId="21" fillId="0" borderId="23" xfId="0" applyNumberFormat="1" applyFont="1" applyFill="1" applyBorder="1"/>
    <xf numFmtId="0" fontId="27" fillId="2" borderId="7" xfId="0" applyFont="1" applyFill="1" applyBorder="1" applyAlignment="1" applyProtection="1">
      <alignment horizontal="center" textRotation="90" wrapText="1"/>
    </xf>
    <xf numFmtId="0" fontId="6" fillId="2" borderId="3" xfId="0" applyFont="1" applyFill="1" applyBorder="1" applyAlignment="1" applyProtection="1">
      <alignment horizontal="center" textRotation="90" wrapText="1"/>
    </xf>
    <xf numFmtId="0" fontId="21" fillId="0" borderId="7" xfId="0" applyFont="1" applyBorder="1"/>
    <xf numFmtId="0" fontId="21" fillId="0" borderId="0" xfId="0" applyFont="1" applyBorder="1"/>
    <xf numFmtId="0" fontId="21" fillId="0" borderId="3" xfId="0" applyFont="1" applyBorder="1"/>
    <xf numFmtId="2" fontId="27" fillId="0" borderId="36" xfId="0" applyNumberFormat="1" applyFont="1" applyFill="1" applyBorder="1" applyAlignment="1" applyProtection="1">
      <alignment horizontal="center" textRotation="90" wrapText="1"/>
    </xf>
    <xf numFmtId="0" fontId="27" fillId="0" borderId="35" xfId="0" applyFont="1" applyFill="1" applyBorder="1" applyAlignment="1" applyProtection="1">
      <alignment horizontal="center" textRotation="90" wrapText="1"/>
    </xf>
    <xf numFmtId="0" fontId="27" fillId="0" borderId="31" xfId="0" applyFont="1" applyFill="1" applyBorder="1" applyAlignment="1" applyProtection="1">
      <alignment horizontal="center" textRotation="90" wrapText="1"/>
    </xf>
    <xf numFmtId="2" fontId="27" fillId="2" borderId="35" xfId="0" applyNumberFormat="1" applyFont="1" applyFill="1" applyBorder="1" applyAlignment="1" applyProtection="1">
      <alignment horizontal="center" textRotation="90" wrapText="1"/>
    </xf>
    <xf numFmtId="0" fontId="27" fillId="2" borderId="70" xfId="0" applyFont="1" applyFill="1" applyBorder="1" applyAlignment="1" applyProtection="1">
      <alignment horizontal="center" textRotation="90" wrapText="1"/>
    </xf>
    <xf numFmtId="0" fontId="27" fillId="2" borderId="71" xfId="0" applyFont="1" applyFill="1" applyBorder="1" applyAlignment="1" applyProtection="1">
      <alignment horizontal="center" textRotation="90" wrapText="1"/>
    </xf>
    <xf numFmtId="0" fontId="27" fillId="2" borderId="72" xfId="0" applyFont="1" applyFill="1" applyBorder="1" applyAlignment="1" applyProtection="1">
      <alignment horizontal="center" textRotation="90" wrapText="1"/>
    </xf>
    <xf numFmtId="0" fontId="27" fillId="2" borderId="46" xfId="0" applyFont="1" applyFill="1" applyBorder="1" applyAlignment="1" applyProtection="1">
      <alignment horizontal="center" textRotation="90" wrapText="1"/>
    </xf>
    <xf numFmtId="0" fontId="27" fillId="2" borderId="5" xfId="0" applyFont="1" applyFill="1" applyBorder="1" applyAlignment="1" applyProtection="1">
      <alignment horizontal="center" textRotation="90" wrapText="1"/>
    </xf>
    <xf numFmtId="0" fontId="30" fillId="0" borderId="0" xfId="0" applyFont="1"/>
    <xf numFmtId="0" fontId="30" fillId="2" borderId="0" xfId="0" applyFont="1" applyFill="1" applyAlignment="1" applyProtection="1">
      <alignment horizontal="center"/>
    </xf>
    <xf numFmtId="0" fontId="0" fillId="0" borderId="0" xfId="0" applyProtection="1">
      <protection locked="0"/>
    </xf>
    <xf numFmtId="0" fontId="0" fillId="0" borderId="92" xfId="9" applyFont="1" applyFill="1" applyBorder="1"/>
    <xf numFmtId="0" fontId="0" fillId="0" borderId="111" xfId="0" applyBorder="1"/>
    <xf numFmtId="0" fontId="0" fillId="0" borderId="125" xfId="9" applyFont="1" applyFill="1" applyBorder="1"/>
    <xf numFmtId="0" fontId="0" fillId="0" borderId="126" xfId="9" applyFont="1" applyFill="1" applyBorder="1"/>
    <xf numFmtId="14" fontId="0" fillId="0" borderId="23" xfId="0" applyNumberFormat="1" applyBorder="1"/>
    <xf numFmtId="0" fontId="25" fillId="2" borderId="8" xfId="0" applyFont="1" applyFill="1" applyBorder="1" applyAlignment="1" applyProtection="1">
      <alignment horizontal="left"/>
    </xf>
    <xf numFmtId="0" fontId="54" fillId="2" borderId="0" xfId="5" applyFont="1" applyFill="1" applyBorder="1" applyAlignment="1" applyProtection="1">
      <alignment horizontal="left"/>
    </xf>
    <xf numFmtId="0" fontId="55" fillId="2" borderId="0" xfId="5" applyFont="1" applyFill="1" applyBorder="1" applyAlignment="1" applyProtection="1">
      <alignment horizontal="left"/>
    </xf>
    <xf numFmtId="0" fontId="1" fillId="0" borderId="0" xfId="21" applyFont="1"/>
    <xf numFmtId="0" fontId="1" fillId="0" borderId="17" xfId="21" applyFont="1" applyFill="1" applyBorder="1"/>
    <xf numFmtId="0" fontId="1" fillId="0" borderId="19" xfId="21" applyFont="1" applyFill="1" applyBorder="1"/>
    <xf numFmtId="2" fontId="1" fillId="0" borderId="19" xfId="21" applyNumberFormat="1" applyFont="1" applyFill="1" applyBorder="1"/>
    <xf numFmtId="2" fontId="1" fillId="0" borderId="19" xfId="21" applyNumberFormat="1" applyFont="1" applyFill="1" applyBorder="1" applyAlignment="1">
      <alignment horizontal="center"/>
    </xf>
    <xf numFmtId="0" fontId="1" fillId="0" borderId="19" xfId="21" applyNumberFormat="1" applyFont="1" applyFill="1" applyBorder="1"/>
    <xf numFmtId="2" fontId="1" fillId="0" borderId="19" xfId="21" applyNumberFormat="1" applyFont="1" applyFill="1" applyBorder="1" applyAlignment="1">
      <alignment horizontal="right"/>
    </xf>
    <xf numFmtId="2" fontId="1" fillId="0" borderId="19" xfId="21" applyNumberFormat="1" applyFont="1" applyFill="1" applyBorder="1" applyAlignment="1">
      <alignment horizontal="left"/>
    </xf>
    <xf numFmtId="1" fontId="1" fillId="0" borderId="19" xfId="21" applyNumberFormat="1" applyFont="1" applyFill="1" applyBorder="1" applyAlignment="1">
      <alignment horizontal="left"/>
    </xf>
    <xf numFmtId="1" fontId="1" fillId="0" borderId="19" xfId="21" applyNumberFormat="1" applyFont="1" applyFill="1" applyBorder="1"/>
    <xf numFmtId="165" fontId="1" fillId="0" borderId="18" xfId="21" applyNumberFormat="1" applyFont="1" applyFill="1" applyBorder="1" applyAlignment="1">
      <alignment horizontal="center"/>
    </xf>
    <xf numFmtId="0" fontId="1" fillId="0" borderId="0" xfId="21" applyFont="1" applyBorder="1"/>
    <xf numFmtId="0" fontId="1" fillId="0" borderId="9" xfId="21" applyFont="1" applyFill="1" applyBorder="1"/>
    <xf numFmtId="0" fontId="1" fillId="0" borderId="10" xfId="21" applyFont="1" applyFill="1" applyBorder="1"/>
    <xf numFmtId="2" fontId="1" fillId="0" borderId="10" xfId="21" applyNumberFormat="1" applyFont="1" applyFill="1" applyBorder="1"/>
    <xf numFmtId="2" fontId="1" fillId="0" borderId="10" xfId="21" applyNumberFormat="1" applyFont="1" applyFill="1" applyBorder="1" applyAlignment="1">
      <alignment horizontal="center"/>
    </xf>
    <xf numFmtId="0" fontId="1" fillId="0" borderId="10" xfId="21" applyNumberFormat="1" applyFont="1" applyFill="1" applyBorder="1"/>
    <xf numFmtId="2" fontId="1" fillId="0" borderId="10" xfId="21" applyNumberFormat="1" applyFont="1" applyFill="1" applyBorder="1" applyAlignment="1">
      <alignment horizontal="right"/>
    </xf>
    <xf numFmtId="2" fontId="1" fillId="0" borderId="10" xfId="21" applyNumberFormat="1" applyFont="1" applyFill="1" applyBorder="1" applyAlignment="1">
      <alignment horizontal="left"/>
    </xf>
    <xf numFmtId="1" fontId="1" fillId="0" borderId="10" xfId="21" applyNumberFormat="1" applyFont="1" applyFill="1" applyBorder="1" applyAlignment="1">
      <alignment horizontal="left"/>
    </xf>
    <xf numFmtId="1" fontId="1" fillId="0" borderId="10" xfId="21" applyNumberFormat="1" applyFont="1" applyFill="1" applyBorder="1"/>
    <xf numFmtId="165" fontId="1" fillId="0" borderId="11" xfId="21" applyNumberFormat="1" applyFont="1" applyFill="1" applyBorder="1" applyAlignment="1">
      <alignment horizontal="center"/>
    </xf>
    <xf numFmtId="2" fontId="57" fillId="0" borderId="0" xfId="21" applyNumberFormat="1" applyFont="1" applyFill="1" applyBorder="1" applyAlignment="1">
      <alignment horizontal="right"/>
    </xf>
    <xf numFmtId="2" fontId="1" fillId="0" borderId="0" xfId="21" applyNumberFormat="1" applyFont="1" applyFill="1" applyBorder="1" applyAlignment="1">
      <alignment horizontal="center"/>
    </xf>
    <xf numFmtId="0" fontId="1" fillId="0" borderId="0" xfId="21" applyNumberFormat="1" applyFont="1" applyFill="1" applyBorder="1"/>
    <xf numFmtId="2" fontId="1" fillId="0" borderId="0" xfId="21" applyNumberFormat="1" applyFont="1" applyFill="1" applyBorder="1" applyAlignment="1">
      <alignment horizontal="left"/>
    </xf>
    <xf numFmtId="2" fontId="1" fillId="0" borderId="0" xfId="21" applyNumberFormat="1" applyFont="1" applyFill="1" applyBorder="1" applyAlignment="1">
      <alignment horizontal="right"/>
    </xf>
    <xf numFmtId="1" fontId="1" fillId="0" borderId="0" xfId="21" applyNumberFormat="1" applyFont="1" applyFill="1" applyBorder="1" applyAlignment="1">
      <alignment horizontal="left"/>
    </xf>
    <xf numFmtId="1" fontId="1" fillId="0" borderId="0" xfId="21" applyNumberFormat="1" applyFont="1" applyFill="1" applyBorder="1"/>
    <xf numFmtId="165" fontId="1" fillId="0" borderId="0" xfId="21" applyNumberFormat="1" applyFont="1" applyFill="1" applyBorder="1" applyAlignment="1">
      <alignment horizontal="center"/>
    </xf>
    <xf numFmtId="0" fontId="58" fillId="0" borderId="0" xfId="21" applyFont="1"/>
    <xf numFmtId="2" fontId="59" fillId="0" borderId="17" xfId="21" applyNumberFormat="1" applyFont="1" applyFill="1" applyBorder="1" applyAlignment="1">
      <alignment horizontal="left"/>
    </xf>
    <xf numFmtId="2" fontId="57" fillId="0" borderId="19" xfId="21" applyNumberFormat="1" applyFont="1" applyFill="1" applyBorder="1" applyAlignment="1">
      <alignment horizontal="left"/>
    </xf>
    <xf numFmtId="0" fontId="58" fillId="0" borderId="19" xfId="21" applyFont="1" applyBorder="1"/>
    <xf numFmtId="2" fontId="58" fillId="0" borderId="19" xfId="21" applyNumberFormat="1" applyFont="1" applyFill="1" applyBorder="1" applyAlignment="1">
      <alignment horizontal="center"/>
    </xf>
    <xf numFmtId="0" fontId="58" fillId="0" borderId="19" xfId="21" applyNumberFormat="1" applyFont="1" applyFill="1" applyBorder="1"/>
    <xf numFmtId="0" fontId="1" fillId="0" borderId="19" xfId="21" applyBorder="1"/>
    <xf numFmtId="2" fontId="58" fillId="0" borderId="19" xfId="21" applyNumberFormat="1" applyFont="1" applyFill="1" applyBorder="1" applyAlignment="1">
      <alignment horizontal="right"/>
    </xf>
    <xf numFmtId="2" fontId="58" fillId="0" borderId="19" xfId="21" applyNumberFormat="1" applyFont="1" applyFill="1" applyBorder="1" applyAlignment="1">
      <alignment horizontal="left"/>
    </xf>
    <xf numFmtId="1" fontId="58" fillId="0" borderId="19" xfId="21" applyNumberFormat="1" applyFont="1" applyFill="1" applyBorder="1"/>
    <xf numFmtId="165" fontId="58" fillId="0" borderId="18" xfId="21" applyNumberFormat="1" applyFont="1" applyFill="1" applyBorder="1"/>
    <xf numFmtId="0" fontId="58" fillId="0" borderId="0" xfId="21" applyFont="1" applyBorder="1"/>
    <xf numFmtId="2" fontId="59" fillId="0" borderId="14" xfId="21" applyNumberFormat="1" applyFont="1" applyFill="1" applyBorder="1" applyAlignment="1">
      <alignment horizontal="left"/>
    </xf>
    <xf numFmtId="2" fontId="57" fillId="0" borderId="0" xfId="21" applyNumberFormat="1" applyFont="1" applyFill="1" applyBorder="1" applyAlignment="1">
      <alignment horizontal="left"/>
    </xf>
    <xf numFmtId="2" fontId="58" fillId="0" borderId="0" xfId="21" applyNumberFormat="1" applyFont="1" applyFill="1" applyBorder="1" applyAlignment="1">
      <alignment horizontal="center"/>
    </xf>
    <xf numFmtId="0" fontId="58" fillId="0" borderId="0" xfId="21" applyNumberFormat="1" applyFont="1" applyFill="1" applyBorder="1"/>
    <xf numFmtId="0" fontId="1" fillId="0" borderId="0" xfId="21" applyBorder="1"/>
    <xf numFmtId="2" fontId="58" fillId="0" borderId="0" xfId="21" applyNumberFormat="1" applyFont="1" applyFill="1" applyBorder="1" applyAlignment="1">
      <alignment horizontal="right"/>
    </xf>
    <xf numFmtId="1" fontId="58" fillId="0" borderId="0" xfId="21" applyNumberFormat="1" applyFont="1" applyFill="1" applyBorder="1"/>
    <xf numFmtId="165" fontId="58" fillId="0" borderId="15" xfId="21" applyNumberFormat="1" applyFont="1" applyFill="1" applyBorder="1"/>
    <xf numFmtId="2" fontId="58" fillId="0" borderId="0" xfId="21" applyNumberFormat="1" applyFont="1" applyFill="1" applyBorder="1" applyAlignment="1">
      <alignment horizontal="left"/>
    </xf>
    <xf numFmtId="0" fontId="58" fillId="0" borderId="14" xfId="21" applyFont="1" applyBorder="1"/>
    <xf numFmtId="1" fontId="58" fillId="0" borderId="0" xfId="21" applyNumberFormat="1" applyFont="1" applyFill="1" applyBorder="1" applyAlignment="1">
      <alignment horizontal="center"/>
    </xf>
    <xf numFmtId="166" fontId="1" fillId="14" borderId="10" xfId="21" applyNumberFormat="1" applyFont="1" applyFill="1" applyBorder="1" applyAlignment="1">
      <alignment horizontal="center"/>
    </xf>
    <xf numFmtId="2" fontId="58" fillId="0" borderId="15" xfId="21" applyNumberFormat="1" applyFont="1" applyFill="1" applyBorder="1"/>
    <xf numFmtId="9" fontId="1" fillId="0" borderId="0" xfId="22" applyFont="1" applyFill="1" applyBorder="1" applyAlignment="1">
      <alignment horizontal="center"/>
    </xf>
    <xf numFmtId="0" fontId="58" fillId="0" borderId="0" xfId="21" applyFont="1" applyFill="1" applyBorder="1"/>
    <xf numFmtId="2" fontId="1" fillId="14" borderId="10" xfId="21" applyNumberFormat="1" applyFont="1" applyFill="1" applyBorder="1" applyAlignment="1">
      <alignment horizontal="center"/>
    </xf>
    <xf numFmtId="166" fontId="1" fillId="15" borderId="10" xfId="22" applyNumberFormat="1" applyFont="1" applyFill="1" applyBorder="1" applyAlignment="1">
      <alignment horizontal="center"/>
    </xf>
    <xf numFmtId="166" fontId="1" fillId="0" borderId="0" xfId="21" applyNumberFormat="1" applyFont="1" applyFill="1" applyBorder="1" applyAlignment="1">
      <alignment horizontal="center"/>
    </xf>
    <xf numFmtId="164" fontId="1" fillId="14" borderId="10" xfId="21" applyNumberFormat="1" applyFont="1" applyFill="1" applyBorder="1" applyAlignment="1">
      <alignment horizontal="center"/>
    </xf>
    <xf numFmtId="1" fontId="1" fillId="0" borderId="0" xfId="21" applyNumberFormat="1" applyFont="1" applyFill="1" applyBorder="1" applyAlignment="1">
      <alignment horizontal="center"/>
    </xf>
    <xf numFmtId="0" fontId="1" fillId="0" borderId="0" xfId="21" applyNumberFormat="1" applyFont="1" applyFill="1" applyBorder="1" applyAlignment="1">
      <alignment horizontal="right"/>
    </xf>
    <xf numFmtId="2" fontId="58" fillId="16" borderId="0" xfId="21" applyNumberFormat="1" applyFont="1" applyFill="1" applyBorder="1" applyAlignment="1">
      <alignment horizontal="left"/>
    </xf>
    <xf numFmtId="2" fontId="58" fillId="16" borderId="10" xfId="21" applyNumberFormat="1" applyFont="1" applyFill="1" applyBorder="1" applyAlignment="1">
      <alignment horizontal="left"/>
    </xf>
    <xf numFmtId="0" fontId="58" fillId="0" borderId="10" xfId="21" applyFont="1" applyBorder="1"/>
    <xf numFmtId="0" fontId="58" fillId="0" borderId="10" xfId="21" applyFont="1" applyFill="1" applyBorder="1"/>
    <xf numFmtId="2" fontId="58" fillId="0" borderId="11" xfId="21" applyNumberFormat="1" applyFont="1" applyFill="1" applyBorder="1"/>
    <xf numFmtId="2" fontId="58" fillId="16" borderId="14" xfId="21" applyNumberFormat="1" applyFont="1" applyFill="1" applyBorder="1" applyAlignment="1">
      <alignment horizontal="left"/>
    </xf>
    <xf numFmtId="0" fontId="58" fillId="0" borderId="0" xfId="21" applyNumberFormat="1" applyFont="1" applyFill="1" applyBorder="1" applyAlignment="1">
      <alignment horizontal="left"/>
    </xf>
    <xf numFmtId="0" fontId="58" fillId="0" borderId="0" xfId="21" applyNumberFormat="1" applyFont="1" applyFill="1" applyBorder="1" applyAlignment="1">
      <alignment horizontal="right"/>
    </xf>
    <xf numFmtId="9" fontId="58" fillId="0" borderId="0" xfId="21" applyNumberFormat="1" applyFont="1" applyBorder="1" applyAlignment="1">
      <alignment horizontal="left"/>
    </xf>
    <xf numFmtId="165" fontId="58" fillId="0" borderId="0" xfId="21" applyNumberFormat="1" applyFont="1" applyFill="1" applyBorder="1" applyAlignment="1">
      <alignment horizontal="left"/>
    </xf>
    <xf numFmtId="2" fontId="58" fillId="0" borderId="14" xfId="21" applyNumberFormat="1" applyFont="1" applyFill="1" applyBorder="1" applyAlignment="1">
      <alignment horizontal="center"/>
    </xf>
    <xf numFmtId="0" fontId="57" fillId="0" borderId="0" xfId="21" applyFont="1" applyBorder="1" applyAlignment="1">
      <alignment horizontal="right"/>
    </xf>
    <xf numFmtId="0" fontId="58" fillId="15" borderId="10" xfId="21" applyFont="1" applyFill="1" applyBorder="1"/>
    <xf numFmtId="165" fontId="58" fillId="0" borderId="15" xfId="21" applyNumberFormat="1" applyFont="1" applyFill="1" applyBorder="1" applyAlignment="1">
      <alignment horizontal="center"/>
    </xf>
    <xf numFmtId="0" fontId="58" fillId="0" borderId="9" xfId="21" applyFont="1" applyBorder="1"/>
    <xf numFmtId="2" fontId="58" fillId="0" borderId="10" xfId="21" applyNumberFormat="1" applyFont="1" applyFill="1" applyBorder="1" applyAlignment="1">
      <alignment horizontal="right"/>
    </xf>
    <xf numFmtId="2" fontId="58" fillId="0" borderId="10" xfId="21" applyNumberFormat="1" applyFont="1" applyFill="1" applyBorder="1" applyAlignment="1">
      <alignment horizontal="center"/>
    </xf>
    <xf numFmtId="1" fontId="58" fillId="0" borderId="10" xfId="21" applyNumberFormat="1" applyFont="1" applyFill="1" applyBorder="1" applyAlignment="1">
      <alignment horizontal="center"/>
    </xf>
    <xf numFmtId="2" fontId="58" fillId="0" borderId="10" xfId="21" applyNumberFormat="1" applyFont="1" applyFill="1" applyBorder="1" applyAlignment="1">
      <alignment horizontal="left"/>
    </xf>
    <xf numFmtId="0" fontId="58" fillId="0" borderId="10" xfId="21" applyNumberFormat="1" applyFont="1" applyFill="1" applyBorder="1" applyAlignment="1">
      <alignment horizontal="right"/>
    </xf>
    <xf numFmtId="2" fontId="58" fillId="0" borderId="9" xfId="21" applyNumberFormat="1" applyFont="1" applyFill="1" applyBorder="1" applyAlignment="1">
      <alignment horizontal="right"/>
    </xf>
    <xf numFmtId="165" fontId="58" fillId="0" borderId="11" xfId="21" applyNumberFormat="1" applyFont="1" applyFill="1" applyBorder="1" applyAlignment="1">
      <alignment horizontal="center"/>
    </xf>
    <xf numFmtId="2" fontId="1" fillId="0" borderId="0" xfId="21" applyNumberFormat="1" applyFont="1" applyFill="1" applyBorder="1"/>
    <xf numFmtId="2" fontId="60" fillId="0" borderId="15" xfId="21" applyNumberFormat="1" applyFont="1" applyFill="1" applyBorder="1"/>
    <xf numFmtId="2" fontId="60" fillId="0" borderId="17" xfId="21" applyNumberFormat="1" applyFont="1" applyFill="1" applyBorder="1" applyAlignment="1">
      <alignment horizontal="centerContinuous"/>
    </xf>
    <xf numFmtId="2" fontId="60" fillId="0" borderId="19" xfId="21" applyNumberFormat="1" applyFont="1" applyFill="1" applyBorder="1" applyAlignment="1">
      <alignment horizontal="centerContinuous"/>
    </xf>
    <xf numFmtId="2" fontId="60" fillId="0" borderId="18" xfId="21" applyNumberFormat="1" applyFont="1" applyFill="1" applyBorder="1" applyAlignment="1">
      <alignment horizontal="centerContinuous"/>
    </xf>
    <xf numFmtId="165" fontId="60" fillId="17" borderId="143" xfId="21" applyNumberFormat="1" applyFont="1" applyFill="1" applyBorder="1" applyAlignment="1">
      <alignment horizontal="center"/>
    </xf>
    <xf numFmtId="0" fontId="60" fillId="0" borderId="144" xfId="21" applyFont="1" applyBorder="1" applyAlignment="1">
      <alignment horizontal="center"/>
    </xf>
    <xf numFmtId="3" fontId="1" fillId="0" borderId="15" xfId="21" applyNumberFormat="1" applyFont="1" applyFill="1" applyBorder="1" applyAlignment="1">
      <alignment horizontal="center"/>
    </xf>
    <xf numFmtId="1" fontId="1" fillId="0" borderId="15" xfId="21" applyNumberFormat="1" applyFont="1" applyFill="1" applyBorder="1" applyAlignment="1">
      <alignment horizontal="center"/>
    </xf>
    <xf numFmtId="2" fontId="1" fillId="0" borderId="15" xfId="21" applyNumberFormat="1" applyFont="1" applyFill="1" applyBorder="1" applyAlignment="1">
      <alignment horizontal="center"/>
    </xf>
    <xf numFmtId="2" fontId="60" fillId="0" borderId="14" xfId="21" applyNumberFormat="1" applyFont="1" applyFill="1" applyBorder="1" applyAlignment="1">
      <alignment horizontal="center"/>
    </xf>
    <xf numFmtId="2" fontId="1" fillId="0" borderId="14" xfId="21" applyNumberFormat="1" applyFont="1" applyFill="1" applyBorder="1" applyAlignment="1">
      <alignment horizontal="center"/>
    </xf>
    <xf numFmtId="2" fontId="1" fillId="0" borderId="14" xfId="21" applyNumberFormat="1" applyFont="1" applyFill="1" applyBorder="1" applyAlignment="1"/>
    <xf numFmtId="1" fontId="62" fillId="0" borderId="0" xfId="21" applyNumberFormat="1" applyFont="1" applyFill="1" applyBorder="1" applyAlignment="1">
      <alignment horizontal="center"/>
    </xf>
    <xf numFmtId="165" fontId="60" fillId="17" borderId="145" xfId="21" applyNumberFormat="1" applyFont="1" applyFill="1" applyBorder="1" applyAlignment="1">
      <alignment horizontal="center"/>
    </xf>
    <xf numFmtId="0" fontId="60" fillId="0" borderId="146" xfId="21" applyFont="1" applyBorder="1" applyAlignment="1">
      <alignment horizontal="center"/>
    </xf>
    <xf numFmtId="2" fontId="1" fillId="0" borderId="0" xfId="21" applyNumberFormat="1" applyFont="1" applyBorder="1"/>
    <xf numFmtId="3" fontId="1" fillId="0" borderId="13" xfId="21" applyNumberFormat="1" applyFont="1" applyFill="1" applyBorder="1" applyAlignment="1">
      <alignment horizontal="center" wrapText="1"/>
    </xf>
    <xf numFmtId="1" fontId="1" fillId="0" borderId="11" xfId="21" applyNumberFormat="1" applyFont="1" applyFill="1" applyBorder="1" applyAlignment="1">
      <alignment horizontal="center" wrapText="1"/>
    </xf>
    <xf numFmtId="2" fontId="1" fillId="0" borderId="11" xfId="21" applyNumberFormat="1" applyFont="1" applyFill="1" applyBorder="1" applyAlignment="1">
      <alignment horizontal="center" wrapText="1"/>
    </xf>
    <xf numFmtId="2" fontId="60" fillId="0" borderId="11" xfId="21" applyNumberFormat="1" applyFont="1" applyFill="1" applyBorder="1" applyAlignment="1">
      <alignment horizontal="center" wrapText="1"/>
    </xf>
    <xf numFmtId="2" fontId="60" fillId="0" borderId="10" xfId="21" applyNumberFormat="1" applyFont="1" applyFill="1" applyBorder="1" applyAlignment="1">
      <alignment horizontal="center" wrapText="1"/>
    </xf>
    <xf numFmtId="165" fontId="60" fillId="17" borderId="147" xfId="21" applyNumberFormat="1" applyFont="1" applyFill="1" applyBorder="1" applyAlignment="1">
      <alignment horizontal="center" wrapText="1"/>
    </xf>
    <xf numFmtId="0" fontId="60" fillId="0" borderId="148" xfId="21" applyFont="1" applyBorder="1" applyAlignment="1">
      <alignment horizontal="center" wrapText="1"/>
    </xf>
    <xf numFmtId="2" fontId="58" fillId="0" borderId="0" xfId="21" applyNumberFormat="1" applyFont="1" applyFill="1" applyBorder="1"/>
    <xf numFmtId="3" fontId="58" fillId="14" borderId="12" xfId="21" applyNumberFormat="1" applyFont="1" applyFill="1" applyBorder="1" applyAlignment="1">
      <alignment horizontal="center"/>
    </xf>
    <xf numFmtId="3" fontId="58" fillId="0" borderId="12" xfId="21" applyNumberFormat="1" applyFont="1" applyFill="1" applyBorder="1" applyAlignment="1">
      <alignment horizontal="center"/>
    </xf>
    <xf numFmtId="1" fontId="58" fillId="14" borderId="15" xfId="21" applyNumberFormat="1" applyFont="1" applyFill="1" applyBorder="1" applyAlignment="1">
      <alignment horizontal="center"/>
    </xf>
    <xf numFmtId="3" fontId="58" fillId="17" borderId="15" xfId="21" applyNumberFormat="1" applyFont="1" applyFill="1" applyBorder="1" applyAlignment="1">
      <alignment horizontal="center"/>
    </xf>
    <xf numFmtId="1" fontId="58" fillId="15" borderId="15" xfId="21" applyNumberFormat="1" applyFont="1" applyFill="1" applyBorder="1" applyAlignment="1">
      <alignment horizontal="center"/>
    </xf>
    <xf numFmtId="3" fontId="57" fillId="17" borderId="15" xfId="21" applyNumberFormat="1" applyFont="1" applyFill="1" applyBorder="1" applyAlignment="1">
      <alignment horizontal="center"/>
    </xf>
    <xf numFmtId="3" fontId="58" fillId="15" borderId="15" xfId="21" applyNumberFormat="1" applyFont="1" applyFill="1" applyBorder="1" applyAlignment="1">
      <alignment horizontal="center"/>
    </xf>
    <xf numFmtId="9" fontId="58" fillId="15" borderId="15" xfId="21" applyNumberFormat="1" applyFont="1" applyFill="1" applyBorder="1" applyAlignment="1">
      <alignment horizontal="center"/>
    </xf>
    <xf numFmtId="164" fontId="58" fillId="15" borderId="15" xfId="21" applyNumberFormat="1" applyFont="1" applyFill="1" applyBorder="1" applyAlignment="1">
      <alignment horizontal="center"/>
    </xf>
    <xf numFmtId="2" fontId="57" fillId="0" borderId="0" xfId="21" applyNumberFormat="1" applyFont="1" applyFill="1" applyBorder="1" applyAlignment="1">
      <alignment horizontal="center"/>
    </xf>
    <xf numFmtId="2" fontId="57" fillId="17" borderId="145" xfId="21" applyNumberFormat="1" applyFont="1" applyFill="1" applyBorder="1" applyAlignment="1">
      <alignment horizontal="center"/>
    </xf>
    <xf numFmtId="1" fontId="57" fillId="0" borderId="146" xfId="21" applyNumberFormat="1" applyFont="1" applyFill="1" applyBorder="1" applyAlignment="1">
      <alignment horizontal="center"/>
    </xf>
    <xf numFmtId="3" fontId="58" fillId="0" borderId="11" xfId="21" applyNumberFormat="1" applyFont="1" applyFill="1" applyBorder="1" applyAlignment="1">
      <alignment horizontal="center"/>
    </xf>
    <xf numFmtId="3" fontId="58" fillId="0" borderId="11" xfId="21" applyNumberFormat="1" applyFont="1" applyFill="1" applyBorder="1"/>
    <xf numFmtId="1" fontId="58" fillId="0" borderId="11" xfId="21" applyNumberFormat="1" applyFont="1" applyFill="1" applyBorder="1" applyAlignment="1">
      <alignment horizontal="center"/>
    </xf>
    <xf numFmtId="4" fontId="58" fillId="0" borderId="11" xfId="21" applyNumberFormat="1" applyFont="1" applyFill="1" applyBorder="1" applyAlignment="1">
      <alignment horizontal="center"/>
    </xf>
    <xf numFmtId="1" fontId="58" fillId="16" borderId="11" xfId="21" applyNumberFormat="1" applyFont="1" applyFill="1" applyBorder="1" applyAlignment="1">
      <alignment horizontal="center"/>
    </xf>
    <xf numFmtId="2" fontId="57" fillId="0" borderId="10" xfId="21" applyNumberFormat="1" applyFont="1" applyFill="1" applyBorder="1" applyAlignment="1">
      <alignment horizontal="center"/>
    </xf>
    <xf numFmtId="165" fontId="58" fillId="17" borderId="147" xfId="21" applyNumberFormat="1" applyFont="1" applyFill="1" applyBorder="1" applyAlignment="1">
      <alignment horizontal="center"/>
    </xf>
    <xf numFmtId="0" fontId="1" fillId="0" borderId="148" xfId="21" applyFont="1" applyBorder="1"/>
    <xf numFmtId="3" fontId="58" fillId="14" borderId="15" xfId="21" applyNumberFormat="1" applyFont="1" applyFill="1" applyBorder="1" applyAlignment="1">
      <alignment horizontal="center"/>
    </xf>
    <xf numFmtId="3" fontId="57" fillId="0" borderId="11" xfId="21" applyNumberFormat="1" applyFont="1" applyFill="1" applyBorder="1" applyAlignment="1">
      <alignment horizontal="center"/>
    </xf>
    <xf numFmtId="165" fontId="58" fillId="17" borderId="149" xfId="21" applyNumberFormat="1" applyFont="1" applyFill="1" applyBorder="1" applyAlignment="1">
      <alignment horizontal="center"/>
    </xf>
    <xf numFmtId="1" fontId="57" fillId="0" borderId="148" xfId="21" applyNumberFormat="1" applyFont="1" applyFill="1" applyBorder="1" applyAlignment="1">
      <alignment horizontal="center"/>
    </xf>
    <xf numFmtId="3" fontId="1" fillId="0" borderId="0" xfId="21" applyNumberFormat="1" applyFont="1" applyBorder="1"/>
    <xf numFmtId="165" fontId="1" fillId="0" borderId="0" xfId="21" applyNumberFormat="1" applyFont="1" applyBorder="1"/>
    <xf numFmtId="165" fontId="1" fillId="0" borderId="0" xfId="21" applyNumberFormat="1" applyFont="1"/>
    <xf numFmtId="2" fontId="27" fillId="8" borderId="120" xfId="0" applyNumberFormat="1" applyFont="1" applyFill="1" applyBorder="1" applyAlignment="1" applyProtection="1">
      <alignment horizontal="center" vertical="center"/>
    </xf>
    <xf numFmtId="2" fontId="27" fillId="18" borderId="4" xfId="0" applyNumberFormat="1" applyFont="1" applyFill="1" applyBorder="1" applyAlignment="1" applyProtection="1">
      <alignment horizontal="center" vertical="center"/>
    </xf>
    <xf numFmtId="2" fontId="21" fillId="2" borderId="0" xfId="0" applyNumberFormat="1" applyFont="1" applyFill="1" applyProtection="1"/>
    <xf numFmtId="0" fontId="25" fillId="0" borderId="1" xfId="0" applyFont="1" applyFill="1" applyBorder="1" applyAlignment="1" applyProtection="1">
      <alignment horizontal="right" vertical="center"/>
    </xf>
    <xf numFmtId="9" fontId="25" fillId="0" borderId="1" xfId="8" applyFont="1" applyFill="1" applyBorder="1" applyAlignment="1" applyProtection="1">
      <alignment horizontal="center" vertical="center"/>
    </xf>
    <xf numFmtId="2" fontId="45" fillId="0" borderId="0" xfId="0" applyNumberFormat="1" applyFont="1" applyFill="1" applyBorder="1" applyAlignment="1" applyProtection="1">
      <alignment horizontal="center" vertical="center"/>
    </xf>
    <xf numFmtId="2" fontId="63" fillId="0" borderId="0" xfId="0" applyNumberFormat="1" applyFont="1" applyFill="1" applyBorder="1" applyAlignment="1" applyProtection="1">
      <alignment horizontal="left" vertical="center"/>
    </xf>
    <xf numFmtId="9" fontId="63" fillId="0" borderId="121" xfId="8" applyFont="1" applyFill="1" applyBorder="1" applyAlignment="1" applyProtection="1">
      <alignment horizontal="center" vertical="center"/>
    </xf>
    <xf numFmtId="49" fontId="25" fillId="5" borderId="137" xfId="0" applyNumberFormat="1" applyFont="1" applyFill="1" applyBorder="1" applyAlignment="1" applyProtection="1">
      <alignment horizontal="center" vertical="center" wrapText="1"/>
      <protection locked="0"/>
    </xf>
    <xf numFmtId="2" fontId="25" fillId="5" borderId="140" xfId="0" applyNumberFormat="1" applyFont="1" applyFill="1" applyBorder="1" applyAlignment="1" applyProtection="1">
      <alignment horizontal="center" vertical="center"/>
      <protection locked="0"/>
    </xf>
    <xf numFmtId="10" fontId="25" fillId="5" borderId="137" xfId="0" applyNumberFormat="1" applyFont="1" applyFill="1" applyBorder="1" applyAlignment="1" applyProtection="1">
      <alignment horizontal="center" vertical="center" wrapText="1"/>
      <protection locked="0"/>
    </xf>
    <xf numFmtId="2" fontId="25" fillId="5" borderId="137" xfId="0" applyNumberFormat="1" applyFont="1" applyFill="1" applyBorder="1" applyAlignment="1" applyProtection="1">
      <alignment horizontal="center" vertical="center" wrapText="1"/>
      <protection locked="0"/>
    </xf>
    <xf numFmtId="2" fontId="25" fillId="6" borderId="138" xfId="0" applyNumberFormat="1" applyFont="1" applyFill="1" applyBorder="1" applyAlignment="1" applyProtection="1">
      <alignment horizontal="center" vertical="center"/>
    </xf>
    <xf numFmtId="2" fontId="25" fillId="5" borderId="138" xfId="0" applyNumberFormat="1" applyFont="1" applyFill="1" applyBorder="1" applyAlignment="1" applyProtection="1">
      <alignment horizontal="center" vertical="center" wrapText="1"/>
      <protection locked="0"/>
    </xf>
    <xf numFmtId="2" fontId="25" fillId="6" borderId="139" xfId="0" applyNumberFormat="1" applyFont="1" applyFill="1" applyBorder="1" applyAlignment="1" applyProtection="1">
      <alignment horizontal="center" vertical="center"/>
    </xf>
    <xf numFmtId="49" fontId="25" fillId="5" borderId="136" xfId="0" applyNumberFormat="1" applyFont="1" applyFill="1" applyBorder="1" applyAlignment="1" applyProtection="1">
      <alignment horizontal="center" vertical="center"/>
      <protection locked="0"/>
    </xf>
    <xf numFmtId="0" fontId="25" fillId="5" borderId="138" xfId="0" applyNumberFormat="1" applyFont="1" applyFill="1" applyBorder="1" applyAlignment="1" applyProtection="1">
      <alignment horizontal="center" vertical="center"/>
      <protection locked="0"/>
    </xf>
    <xf numFmtId="0" fontId="64" fillId="5" borderId="137" xfId="0" applyNumberFormat="1" applyFont="1" applyFill="1" applyBorder="1" applyAlignment="1" applyProtection="1">
      <alignment horizontal="center" vertical="center" wrapText="1"/>
      <protection locked="0"/>
    </xf>
    <xf numFmtId="2" fontId="64" fillId="6" borderId="108" xfId="0" applyNumberFormat="1" applyFont="1" applyFill="1" applyBorder="1" applyAlignment="1" applyProtection="1">
      <alignment horizontal="center" vertical="center"/>
    </xf>
    <xf numFmtId="2" fontId="64" fillId="5" borderId="105" xfId="0" applyNumberFormat="1" applyFont="1" applyFill="1" applyBorder="1" applyAlignment="1" applyProtection="1">
      <alignment horizontal="center" vertical="center" wrapText="1"/>
      <protection locked="0"/>
    </xf>
    <xf numFmtId="164" fontId="58" fillId="16" borderId="11" xfId="21" applyNumberFormat="1" applyFont="1" applyFill="1" applyBorder="1" applyAlignment="1">
      <alignment horizontal="center"/>
    </xf>
    <xf numFmtId="10" fontId="21" fillId="0" borderId="0" xfId="8" applyNumberFormat="1" applyFont="1" applyProtection="1"/>
    <xf numFmtId="0" fontId="33" fillId="14" borderId="46" xfId="0" applyFont="1" applyFill="1" applyBorder="1" applyAlignment="1" applyProtection="1">
      <alignment horizontal="center" vertical="center"/>
    </xf>
    <xf numFmtId="0" fontId="28" fillId="5" borderId="24" xfId="0" applyNumberFormat="1" applyFont="1" applyFill="1" applyBorder="1" applyAlignment="1" applyProtection="1">
      <alignment horizontal="center" vertical="center"/>
      <protection locked="0"/>
    </xf>
    <xf numFmtId="0" fontId="28" fillId="5" borderId="133" xfId="0" applyNumberFormat="1" applyFont="1" applyFill="1" applyBorder="1" applyAlignment="1" applyProtection="1">
      <alignment horizontal="center" vertical="center"/>
      <protection locked="0"/>
    </xf>
    <xf numFmtId="0" fontId="28" fillId="5" borderId="1" xfId="0" applyNumberFormat="1" applyFont="1" applyFill="1" applyBorder="1" applyAlignment="1" applyProtection="1">
      <alignment horizontal="left" vertical="top" wrapText="1"/>
      <protection locked="0"/>
    </xf>
    <xf numFmtId="0" fontId="28" fillId="5" borderId="1" xfId="0" applyNumberFormat="1" applyFont="1" applyFill="1" applyBorder="1" applyAlignment="1" applyProtection="1">
      <alignment horizontal="left" vertical="top"/>
      <protection locked="0"/>
    </xf>
    <xf numFmtId="0" fontId="28" fillId="5" borderId="2" xfId="0" applyNumberFormat="1" applyFont="1" applyFill="1" applyBorder="1" applyAlignment="1" applyProtection="1">
      <alignment horizontal="left" vertical="top"/>
      <protection locked="0"/>
    </xf>
    <xf numFmtId="0" fontId="28" fillId="5" borderId="0" xfId="0" applyNumberFormat="1" applyFont="1" applyFill="1" applyBorder="1" applyAlignment="1" applyProtection="1">
      <alignment horizontal="left" vertical="top"/>
      <protection locked="0"/>
    </xf>
    <xf numFmtId="0" fontId="28" fillId="5" borderId="3" xfId="0" applyNumberFormat="1" applyFont="1" applyFill="1" applyBorder="1" applyAlignment="1" applyProtection="1">
      <alignment horizontal="left" vertical="top"/>
      <protection locked="0"/>
    </xf>
    <xf numFmtId="0" fontId="28" fillId="5" borderId="4" xfId="0" applyNumberFormat="1" applyFont="1" applyFill="1" applyBorder="1" applyAlignment="1" applyProtection="1">
      <alignment horizontal="left" vertical="top"/>
      <protection locked="0"/>
    </xf>
    <xf numFmtId="0" fontId="28" fillId="5" borderId="5" xfId="0" applyNumberFormat="1" applyFont="1" applyFill="1" applyBorder="1" applyAlignment="1" applyProtection="1">
      <alignment horizontal="left" vertical="top"/>
      <protection locked="0"/>
    </xf>
    <xf numFmtId="0" fontId="28" fillId="5" borderId="25" xfId="0" applyNumberFormat="1" applyFont="1" applyFill="1" applyBorder="1" applyAlignment="1" applyProtection="1">
      <alignment horizontal="left" vertical="center"/>
      <protection locked="0"/>
    </xf>
    <xf numFmtId="0" fontId="28" fillId="5" borderId="124" xfId="0" applyNumberFormat="1" applyFont="1" applyFill="1" applyBorder="1" applyAlignment="1" applyProtection="1">
      <alignment horizontal="left" vertical="center"/>
      <protection locked="0"/>
    </xf>
    <xf numFmtId="49" fontId="28" fillId="0" borderId="6" xfId="0" applyNumberFormat="1" applyFont="1" applyFill="1" applyBorder="1" applyAlignment="1" applyProtection="1">
      <alignment horizontal="left" vertical="top" wrapText="1"/>
      <protection locked="0"/>
    </xf>
    <xf numFmtId="49" fontId="28" fillId="0" borderId="1" xfId="0" applyNumberFormat="1" applyFont="1" applyFill="1" applyBorder="1" applyAlignment="1" applyProtection="1">
      <alignment horizontal="left" vertical="top" wrapText="1"/>
      <protection locked="0"/>
    </xf>
    <xf numFmtId="49" fontId="28" fillId="0" borderId="2" xfId="0" applyNumberFormat="1" applyFont="1" applyFill="1" applyBorder="1" applyAlignment="1" applyProtection="1">
      <alignment horizontal="left" vertical="top" wrapText="1"/>
      <protection locked="0"/>
    </xf>
    <xf numFmtId="49" fontId="28" fillId="0" borderId="51" xfId="0" applyNumberFormat="1" applyFont="1" applyFill="1" applyBorder="1" applyAlignment="1" applyProtection="1">
      <alignment horizontal="left" vertical="top" wrapText="1"/>
      <protection locked="0"/>
    </xf>
    <xf numFmtId="49" fontId="28" fillId="0" borderId="43" xfId="0" applyNumberFormat="1" applyFont="1" applyFill="1" applyBorder="1" applyAlignment="1" applyProtection="1">
      <alignment horizontal="left" vertical="top" wrapText="1"/>
      <protection locked="0"/>
    </xf>
    <xf numFmtId="49" fontId="28" fillId="0" borderId="130" xfId="0" applyNumberFormat="1" applyFont="1" applyFill="1" applyBorder="1" applyAlignment="1" applyProtection="1">
      <alignment horizontal="left" vertical="top" wrapText="1"/>
      <protection locked="0"/>
    </xf>
    <xf numFmtId="0" fontId="28" fillId="5" borderId="25" xfId="0" applyNumberFormat="1" applyFont="1" applyFill="1" applyBorder="1" applyAlignment="1" applyProtection="1">
      <alignment horizontal="center" vertical="center"/>
      <protection locked="0"/>
    </xf>
    <xf numFmtId="0" fontId="28" fillId="5" borderId="48" xfId="0" applyNumberFormat="1" applyFont="1" applyFill="1" applyBorder="1" applyAlignment="1" applyProtection="1">
      <alignment horizontal="center" vertical="center"/>
      <protection locked="0"/>
    </xf>
    <xf numFmtId="0" fontId="28" fillId="5" borderId="31" xfId="0" applyNumberFormat="1" applyFont="1" applyFill="1" applyBorder="1" applyAlignment="1" applyProtection="1">
      <alignment horizontal="center" vertical="center"/>
      <protection locked="0"/>
    </xf>
    <xf numFmtId="0" fontId="28" fillId="5" borderId="26" xfId="0" applyNumberFormat="1" applyFont="1" applyFill="1" applyBorder="1" applyAlignment="1" applyProtection="1">
      <alignment horizontal="left" vertical="center"/>
      <protection locked="0"/>
    </xf>
    <xf numFmtId="0" fontId="28" fillId="5" borderId="127" xfId="0" applyNumberFormat="1" applyFont="1" applyFill="1" applyBorder="1" applyAlignment="1" applyProtection="1">
      <alignment horizontal="left" vertical="center"/>
      <protection locked="0"/>
    </xf>
    <xf numFmtId="0" fontId="25" fillId="2" borderId="128" xfId="0" applyFont="1" applyFill="1" applyBorder="1" applyAlignment="1" applyProtection="1">
      <alignment horizontal="center" vertical="center" wrapText="1"/>
    </xf>
    <xf numFmtId="0" fontId="25" fillId="2" borderId="129" xfId="0" applyFont="1" applyFill="1" applyBorder="1" applyAlignment="1" applyProtection="1">
      <alignment horizontal="center" vertical="center" wrapText="1"/>
    </xf>
    <xf numFmtId="0" fontId="25" fillId="2" borderId="102" xfId="0" applyFont="1" applyFill="1" applyBorder="1" applyAlignment="1" applyProtection="1">
      <alignment horizontal="center" vertical="center" wrapText="1"/>
    </xf>
    <xf numFmtId="0" fontId="28" fillId="5" borderId="134" xfId="0" applyNumberFormat="1" applyFont="1" applyFill="1" applyBorder="1" applyAlignment="1" applyProtection="1">
      <alignment horizontal="center" vertical="center"/>
      <protection locked="0"/>
    </xf>
    <xf numFmtId="0" fontId="28" fillId="5" borderId="58" xfId="0" applyNumberFormat="1" applyFont="1" applyFill="1" applyBorder="1" applyAlignment="1" applyProtection="1">
      <alignment horizontal="center" vertical="center"/>
      <protection locked="0"/>
    </xf>
    <xf numFmtId="0" fontId="28" fillId="5" borderId="135" xfId="0" applyNumberFormat="1" applyFont="1" applyFill="1" applyBorder="1" applyAlignment="1" applyProtection="1">
      <alignment horizontal="center" vertical="center"/>
      <protection locked="0"/>
    </xf>
    <xf numFmtId="3" fontId="28" fillId="5" borderId="25" xfId="0" applyNumberFormat="1" applyFont="1" applyFill="1" applyBorder="1" applyAlignment="1" applyProtection="1">
      <alignment horizontal="center" vertical="center"/>
      <protection locked="0"/>
    </xf>
    <xf numFmtId="3" fontId="28" fillId="5" borderId="124" xfId="0" applyNumberFormat="1" applyFont="1" applyFill="1" applyBorder="1" applyAlignment="1" applyProtection="1">
      <alignment horizontal="center" vertical="center"/>
      <protection locked="0"/>
    </xf>
    <xf numFmtId="167" fontId="28" fillId="5" borderId="26" xfId="0" applyNumberFormat="1" applyFont="1" applyFill="1" applyBorder="1" applyAlignment="1" applyProtection="1">
      <alignment horizontal="center" vertical="center"/>
      <protection locked="0"/>
    </xf>
    <xf numFmtId="167" fontId="28" fillId="5" borderId="127" xfId="0" applyNumberFormat="1" applyFont="1" applyFill="1" applyBorder="1" applyAlignment="1" applyProtection="1">
      <alignment horizontal="center" vertical="center"/>
      <protection locked="0"/>
    </xf>
    <xf numFmtId="0" fontId="28" fillId="5" borderId="124" xfId="0" applyNumberFormat="1" applyFont="1" applyFill="1" applyBorder="1" applyAlignment="1" applyProtection="1">
      <alignment horizontal="center" vertical="center"/>
      <protection locked="0"/>
    </xf>
    <xf numFmtId="49" fontId="28" fillId="0" borderId="27" xfId="0" applyNumberFormat="1" applyFont="1" applyFill="1" applyBorder="1" applyAlignment="1" applyProtection="1">
      <alignment horizontal="center" vertical="top" wrapText="1"/>
      <protection locked="0"/>
    </xf>
    <xf numFmtId="49" fontId="28" fillId="0" borderId="24" xfId="0" applyNumberFormat="1" applyFont="1" applyFill="1" applyBorder="1" applyAlignment="1" applyProtection="1">
      <alignment horizontal="center" vertical="top" wrapText="1"/>
      <protection locked="0"/>
    </xf>
    <xf numFmtId="49" fontId="28" fillId="0" borderId="42" xfId="0" applyNumberFormat="1" applyFont="1" applyFill="1" applyBorder="1" applyAlignment="1" applyProtection="1">
      <alignment horizontal="center" vertical="top" wrapText="1"/>
      <protection locked="0"/>
    </xf>
    <xf numFmtId="0" fontId="34" fillId="12" borderId="24" xfId="0" applyNumberFormat="1" applyFont="1" applyFill="1" applyBorder="1" applyAlignment="1" applyProtection="1">
      <alignment horizontal="left" vertical="center"/>
      <protection locked="0"/>
    </xf>
    <xf numFmtId="0" fontId="34" fillId="12" borderId="42" xfId="0" applyNumberFormat="1" applyFont="1" applyFill="1" applyBorder="1" applyAlignment="1" applyProtection="1">
      <alignment horizontal="left" vertical="center"/>
      <protection locked="0"/>
    </xf>
    <xf numFmtId="0" fontId="11" fillId="12" borderId="25" xfId="5" applyNumberFormat="1" applyFill="1" applyBorder="1" applyAlignment="1" applyProtection="1">
      <alignment horizontal="left" vertical="center"/>
      <protection locked="0"/>
    </xf>
    <xf numFmtId="0" fontId="34" fillId="12" borderId="25" xfId="0" applyNumberFormat="1" applyFont="1" applyFill="1" applyBorder="1" applyAlignment="1" applyProtection="1">
      <alignment horizontal="left" vertical="center"/>
      <protection locked="0"/>
    </xf>
    <xf numFmtId="0" fontId="34" fillId="12" borderId="124" xfId="0" applyNumberFormat="1" applyFont="1" applyFill="1" applyBorder="1" applyAlignment="1" applyProtection="1">
      <alignment horizontal="left" vertical="center"/>
      <protection locked="0"/>
    </xf>
    <xf numFmtId="14" fontId="34" fillId="12" borderId="26" xfId="0" applyNumberFormat="1" applyFont="1" applyFill="1" applyBorder="1" applyAlignment="1" applyProtection="1">
      <alignment horizontal="left" vertical="center"/>
      <protection locked="0"/>
    </xf>
    <xf numFmtId="14" fontId="34" fillId="12" borderId="127" xfId="0" applyNumberFormat="1" applyFont="1" applyFill="1" applyBorder="1" applyAlignment="1" applyProtection="1">
      <alignment horizontal="left" vertical="center"/>
      <protection locked="0"/>
    </xf>
    <xf numFmtId="0" fontId="28" fillId="2" borderId="0" xfId="0" applyNumberFormat="1" applyFont="1" applyFill="1" applyAlignment="1" applyProtection="1">
      <alignment horizontal="center"/>
    </xf>
    <xf numFmtId="0" fontId="34" fillId="5" borderId="24" xfId="0" applyNumberFormat="1" applyFont="1" applyFill="1" applyBorder="1" applyAlignment="1" applyProtection="1">
      <alignment horizontal="left" vertical="center"/>
      <protection locked="0"/>
    </xf>
    <xf numFmtId="0" fontId="34" fillId="5" borderId="42" xfId="0" applyNumberFormat="1" applyFont="1" applyFill="1" applyBorder="1" applyAlignment="1" applyProtection="1">
      <alignment horizontal="left" vertical="center"/>
      <protection locked="0"/>
    </xf>
    <xf numFmtId="49" fontId="34" fillId="5" borderId="25" xfId="0" applyNumberFormat="1" applyFont="1" applyFill="1" applyBorder="1" applyAlignment="1" applyProtection="1">
      <alignment horizontal="left" vertical="center"/>
      <protection locked="0"/>
    </xf>
    <xf numFmtId="49" fontId="34" fillId="5" borderId="124" xfId="0" applyNumberFormat="1" applyFont="1" applyFill="1" applyBorder="1" applyAlignment="1" applyProtection="1">
      <alignment horizontal="left" vertical="center"/>
      <protection locked="0"/>
    </xf>
    <xf numFmtId="49" fontId="34" fillId="12" borderId="26" xfId="0" applyNumberFormat="1" applyFont="1" applyFill="1" applyBorder="1" applyAlignment="1" applyProtection="1">
      <alignment horizontal="left" vertical="center"/>
      <protection locked="0"/>
    </xf>
    <xf numFmtId="49" fontId="34" fillId="12" borderId="127" xfId="0" applyNumberFormat="1" applyFont="1" applyFill="1" applyBorder="1" applyAlignment="1" applyProtection="1">
      <alignment horizontal="left" vertical="center"/>
      <protection locked="0"/>
    </xf>
    <xf numFmtId="0" fontId="34" fillId="5" borderId="25" xfId="0" applyNumberFormat="1" applyFont="1" applyFill="1" applyBorder="1" applyAlignment="1" applyProtection="1">
      <alignment horizontal="left" vertical="center"/>
      <protection locked="0"/>
    </xf>
    <xf numFmtId="0" fontId="34" fillId="5" borderId="26" xfId="0" applyNumberFormat="1" applyFont="1" applyFill="1" applyBorder="1" applyAlignment="1" applyProtection="1">
      <alignment horizontal="left" vertical="center"/>
      <protection locked="0"/>
    </xf>
    <xf numFmtId="49" fontId="34" fillId="5" borderId="26" xfId="0" applyNumberFormat="1" applyFont="1" applyFill="1" applyBorder="1" applyAlignment="1" applyProtection="1">
      <alignment horizontal="left" vertical="center"/>
      <protection locked="0"/>
    </xf>
    <xf numFmtId="0" fontId="25" fillId="2" borderId="8" xfId="0" applyFont="1" applyFill="1" applyBorder="1" applyAlignment="1" applyProtection="1">
      <alignment horizontal="left"/>
    </xf>
    <xf numFmtId="0" fontId="21" fillId="0" borderId="4" xfId="0" applyFont="1" applyBorder="1" applyAlignment="1"/>
    <xf numFmtId="0" fontId="34" fillId="6" borderId="24" xfId="0" applyNumberFormat="1" applyFont="1" applyFill="1" applyBorder="1" applyAlignment="1" applyProtection="1">
      <alignment horizontal="left" vertical="center"/>
    </xf>
    <xf numFmtId="0" fontId="21" fillId="6" borderId="24" xfId="0" applyFont="1" applyFill="1" applyBorder="1" applyAlignment="1">
      <alignment horizontal="left" vertical="center"/>
    </xf>
    <xf numFmtId="0" fontId="21" fillId="6" borderId="42" xfId="0" applyFont="1" applyFill="1" applyBorder="1" applyAlignment="1">
      <alignment horizontal="left" vertical="center"/>
    </xf>
    <xf numFmtId="0" fontId="31" fillId="6" borderId="25" xfId="5" applyNumberFormat="1" applyFont="1" applyFill="1" applyBorder="1" applyAlignment="1" applyProtection="1">
      <alignment horizontal="left" vertical="center"/>
    </xf>
    <xf numFmtId="0" fontId="38" fillId="6" borderId="25" xfId="0" applyFont="1" applyFill="1" applyBorder="1" applyAlignment="1">
      <alignment horizontal="left" vertical="center"/>
    </xf>
    <xf numFmtId="0" fontId="38" fillId="6" borderId="124" xfId="0" applyFont="1" applyFill="1" applyBorder="1" applyAlignment="1">
      <alignment horizontal="left" vertical="center"/>
    </xf>
    <xf numFmtId="0" fontId="34" fillId="6" borderId="25" xfId="0" applyNumberFormat="1" applyFont="1" applyFill="1" applyBorder="1" applyAlignment="1" applyProtection="1">
      <alignment horizontal="left" vertical="center"/>
    </xf>
    <xf numFmtId="0" fontId="21" fillId="6" borderId="25" xfId="0" applyFont="1" applyFill="1" applyBorder="1" applyAlignment="1">
      <alignment horizontal="left" vertical="center"/>
    </xf>
    <xf numFmtId="0" fontId="21" fillId="6" borderId="124" xfId="0" applyFont="1" applyFill="1" applyBorder="1" applyAlignment="1">
      <alignment horizontal="left" vertical="center"/>
    </xf>
    <xf numFmtId="14" fontId="34" fillId="6" borderId="26" xfId="0" applyNumberFormat="1" applyFont="1" applyFill="1" applyBorder="1" applyAlignment="1" applyProtection="1">
      <alignment horizontal="left" vertical="center"/>
    </xf>
    <xf numFmtId="0" fontId="21" fillId="6" borderId="26" xfId="0" applyFont="1" applyFill="1" applyBorder="1" applyAlignment="1">
      <alignment horizontal="left" vertical="center"/>
    </xf>
    <xf numFmtId="0" fontId="21" fillId="6" borderId="127" xfId="0" applyFont="1" applyFill="1" applyBorder="1" applyAlignment="1">
      <alignment horizontal="left" vertical="center"/>
    </xf>
    <xf numFmtId="0" fontId="49" fillId="0" borderId="8" xfId="0" applyFont="1" applyBorder="1" applyAlignment="1" applyProtection="1">
      <alignment horizontal="left"/>
    </xf>
    <xf numFmtId="0" fontId="49" fillId="0" borderId="4" xfId="0" applyFont="1" applyBorder="1" applyAlignment="1" applyProtection="1">
      <alignment horizontal="left"/>
    </xf>
    <xf numFmtId="49" fontId="34" fillId="6" borderId="24" xfId="0" applyNumberFormat="1" applyFont="1" applyFill="1" applyBorder="1" applyAlignment="1" applyProtection="1">
      <alignment horizontal="left" vertical="center"/>
    </xf>
    <xf numFmtId="0" fontId="21" fillId="6" borderId="43" xfId="0" applyFont="1" applyFill="1" applyBorder="1" applyAlignment="1">
      <alignment horizontal="left" vertical="center"/>
    </xf>
    <xf numFmtId="0" fontId="34" fillId="6" borderId="26" xfId="0" applyNumberFormat="1" applyFont="1" applyFill="1" applyBorder="1" applyAlignment="1" applyProtection="1">
      <alignment horizontal="left" vertical="center"/>
    </xf>
    <xf numFmtId="0" fontId="25" fillId="2" borderId="4" xfId="0" applyFont="1" applyFill="1" applyBorder="1" applyAlignment="1" applyProtection="1">
      <alignment horizontal="left"/>
    </xf>
    <xf numFmtId="49" fontId="34" fillId="6" borderId="25" xfId="0" applyNumberFormat="1" applyFont="1" applyFill="1" applyBorder="1" applyAlignment="1" applyProtection="1">
      <alignment horizontal="left" vertical="center"/>
    </xf>
    <xf numFmtId="49" fontId="34" fillId="6" borderId="26" xfId="0" applyNumberFormat="1" applyFont="1" applyFill="1" applyBorder="1" applyAlignment="1" applyProtection="1">
      <alignment horizontal="left" vertical="center"/>
    </xf>
    <xf numFmtId="49" fontId="34" fillId="6" borderId="42" xfId="0" applyNumberFormat="1" applyFont="1" applyFill="1" applyBorder="1" applyAlignment="1" applyProtection="1">
      <alignment horizontal="left" vertical="center"/>
    </xf>
    <xf numFmtId="0" fontId="34" fillId="6" borderId="124" xfId="0" applyNumberFormat="1" applyFont="1" applyFill="1" applyBorder="1" applyAlignment="1" applyProtection="1">
      <alignment horizontal="left" vertical="center"/>
    </xf>
    <xf numFmtId="14" fontId="34" fillId="6" borderId="127" xfId="0" applyNumberFormat="1" applyFont="1" applyFill="1" applyBorder="1" applyAlignment="1" applyProtection="1">
      <alignment horizontal="left" vertical="center"/>
    </xf>
    <xf numFmtId="2" fontId="56" fillId="0" borderId="14" xfId="21" applyNumberFormat="1" applyFont="1" applyFill="1" applyBorder="1" applyAlignment="1">
      <alignment horizontal="center"/>
    </xf>
    <xf numFmtId="2" fontId="56" fillId="0" borderId="0" xfId="21" applyNumberFormat="1" applyFont="1" applyFill="1" applyBorder="1" applyAlignment="1">
      <alignment horizontal="center"/>
    </xf>
    <xf numFmtId="2" fontId="56" fillId="0" borderId="15" xfId="21" applyNumberFormat="1" applyFont="1" applyFill="1" applyBorder="1" applyAlignment="1">
      <alignment horizontal="center"/>
    </xf>
    <xf numFmtId="2" fontId="60" fillId="0" borderId="19" xfId="21" applyNumberFormat="1" applyFont="1" applyFill="1" applyBorder="1" applyAlignment="1">
      <alignment horizontal="center"/>
    </xf>
    <xf numFmtId="0" fontId="21" fillId="0" borderId="4" xfId="0" applyFont="1" applyBorder="1" applyAlignment="1">
      <alignment horizontal="left"/>
    </xf>
    <xf numFmtId="0" fontId="34" fillId="6" borderId="42" xfId="0" applyNumberFormat="1" applyFont="1" applyFill="1" applyBorder="1" applyAlignment="1" applyProtection="1">
      <alignment horizontal="left" vertical="center"/>
    </xf>
    <xf numFmtId="0" fontId="21" fillId="6" borderId="21" xfId="0" applyNumberFormat="1" applyFont="1" applyFill="1" applyBorder="1" applyAlignment="1">
      <alignment horizontal="left" vertical="top" wrapText="1"/>
    </xf>
    <xf numFmtId="0" fontId="21" fillId="6" borderId="16" xfId="0" applyNumberFormat="1" applyFont="1" applyFill="1" applyBorder="1" applyAlignment="1">
      <alignment horizontal="left" vertical="top" wrapText="1"/>
    </xf>
    <xf numFmtId="0" fontId="21" fillId="6" borderId="22" xfId="0" applyNumberFormat="1" applyFont="1" applyFill="1" applyBorder="1" applyAlignment="1">
      <alignment horizontal="left" vertical="top" wrapText="1"/>
    </xf>
    <xf numFmtId="0" fontId="21" fillId="5" borderId="21" xfId="0" applyFont="1" applyFill="1" applyBorder="1" applyAlignment="1">
      <alignment horizontal="center"/>
    </xf>
    <xf numFmtId="0" fontId="21" fillId="5" borderId="16" xfId="0" applyFont="1" applyFill="1" applyBorder="1" applyAlignment="1">
      <alignment horizontal="center"/>
    </xf>
    <xf numFmtId="0" fontId="21" fillId="5" borderId="104" xfId="0" applyFont="1" applyFill="1" applyBorder="1" applyAlignment="1">
      <alignment horizontal="center"/>
    </xf>
    <xf numFmtId="0" fontId="4" fillId="2" borderId="8" xfId="0" applyFont="1" applyFill="1" applyBorder="1" applyAlignment="1" applyProtection="1">
      <alignment horizontal="left"/>
    </xf>
    <xf numFmtId="0" fontId="5" fillId="0" borderId="4" xfId="0" applyFont="1" applyBorder="1" applyAlignment="1">
      <alignment horizontal="left"/>
    </xf>
    <xf numFmtId="0" fontId="31" fillId="6" borderId="124" xfId="5" applyNumberFormat="1" applyFont="1" applyFill="1" applyBorder="1" applyAlignment="1" applyProtection="1">
      <alignment horizontal="left" vertical="center"/>
    </xf>
    <xf numFmtId="0" fontId="5" fillId="0" borderId="30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14" fontId="6" fillId="5" borderId="30" xfId="0" applyNumberFormat="1" applyFont="1" applyFill="1" applyBorder="1" applyAlignment="1" applyProtection="1">
      <alignment horizontal="center" vertical="center"/>
    </xf>
    <xf numFmtId="14" fontId="6" fillId="5" borderId="32" xfId="0" applyNumberFormat="1" applyFont="1" applyFill="1" applyBorder="1" applyAlignment="1" applyProtection="1">
      <alignment horizontal="center" vertical="center"/>
    </xf>
    <xf numFmtId="0" fontId="21" fillId="6" borderId="23" xfId="0" applyFont="1" applyFill="1" applyBorder="1" applyAlignment="1">
      <alignment horizontal="left" vertical="top"/>
    </xf>
    <xf numFmtId="0" fontId="21" fillId="6" borderId="125" xfId="0" applyFont="1" applyFill="1" applyBorder="1" applyAlignment="1">
      <alignment horizontal="left" vertical="top"/>
    </xf>
    <xf numFmtId="0" fontId="21" fillId="5" borderId="132" xfId="0" applyFont="1" applyFill="1" applyBorder="1" applyAlignment="1">
      <alignment horizontal="center"/>
    </xf>
    <xf numFmtId="0" fontId="21" fillId="5" borderId="111" xfId="0" applyFont="1" applyFill="1" applyBorder="1" applyAlignment="1">
      <alignment horizontal="center"/>
    </xf>
    <xf numFmtId="0" fontId="21" fillId="5" borderId="106" xfId="0" applyFont="1" applyFill="1" applyBorder="1" applyAlignment="1">
      <alignment horizontal="center"/>
    </xf>
    <xf numFmtId="0" fontId="32" fillId="0" borderId="8" xfId="0" applyFont="1" applyBorder="1" applyAlignment="1">
      <alignment horizontal="left"/>
    </xf>
    <xf numFmtId="0" fontId="32" fillId="0" borderId="4" xfId="0" applyFont="1" applyBorder="1" applyAlignment="1">
      <alignment horizontal="left"/>
    </xf>
    <xf numFmtId="0" fontId="32" fillId="0" borderId="5" xfId="0" applyFont="1" applyBorder="1" applyAlignment="1">
      <alignment horizontal="left"/>
    </xf>
    <xf numFmtId="0" fontId="21" fillId="6" borderId="132" xfId="0" applyNumberFormat="1" applyFont="1" applyFill="1" applyBorder="1" applyAlignment="1">
      <alignment horizontal="left" vertical="top" wrapText="1"/>
    </xf>
    <xf numFmtId="0" fontId="21" fillId="6" borderId="111" xfId="0" applyNumberFormat="1" applyFont="1" applyFill="1" applyBorder="1" applyAlignment="1">
      <alignment horizontal="left" vertical="top" wrapText="1"/>
    </xf>
    <xf numFmtId="0" fontId="21" fillId="6" borderId="113" xfId="0" applyNumberFormat="1" applyFont="1" applyFill="1" applyBorder="1" applyAlignment="1">
      <alignment horizontal="left" vertical="top" wrapText="1"/>
    </xf>
    <xf numFmtId="0" fontId="6" fillId="2" borderId="30" xfId="0" applyFont="1" applyFill="1" applyBorder="1" applyAlignment="1" applyProtection="1">
      <alignment horizontal="center" textRotation="90" wrapText="1"/>
    </xf>
    <xf numFmtId="0" fontId="6" fillId="2" borderId="31" xfId="0" applyFont="1" applyFill="1" applyBorder="1" applyAlignment="1" applyProtection="1">
      <alignment horizontal="center" textRotation="90" wrapText="1"/>
    </xf>
    <xf numFmtId="0" fontId="6" fillId="2" borderId="32" xfId="0" applyFont="1" applyFill="1" applyBorder="1" applyAlignment="1" applyProtection="1">
      <alignment horizontal="center" textRotation="90" wrapText="1"/>
    </xf>
    <xf numFmtId="0" fontId="21" fillId="6" borderId="131" xfId="0" applyNumberFormat="1" applyFont="1" applyFill="1" applyBorder="1" applyAlignment="1">
      <alignment horizontal="left" vertical="top" wrapText="1"/>
    </xf>
    <xf numFmtId="0" fontId="21" fillId="6" borderId="56" xfId="0" applyNumberFormat="1" applyFont="1" applyFill="1" applyBorder="1" applyAlignment="1">
      <alignment horizontal="left" vertical="top" wrapText="1"/>
    </xf>
    <xf numFmtId="0" fontId="21" fillId="6" borderId="112" xfId="0" applyNumberFormat="1" applyFont="1" applyFill="1" applyBorder="1" applyAlignment="1">
      <alignment horizontal="left" vertical="top" wrapText="1"/>
    </xf>
    <xf numFmtId="0" fontId="21" fillId="5" borderId="131" xfId="0" applyFont="1" applyFill="1" applyBorder="1" applyAlignment="1">
      <alignment horizontal="center"/>
    </xf>
    <xf numFmtId="0" fontId="21" fillId="5" borderId="56" xfId="0" applyFont="1" applyFill="1" applyBorder="1" applyAlignment="1">
      <alignment horizontal="center"/>
    </xf>
    <xf numFmtId="0" fontId="21" fillId="5" borderId="103" xfId="0" applyFont="1" applyFill="1" applyBorder="1" applyAlignment="1">
      <alignment horizontal="center"/>
    </xf>
    <xf numFmtId="0" fontId="34" fillId="0" borderId="8" xfId="0" applyFont="1" applyFill="1" applyBorder="1" applyAlignment="1">
      <alignment horizontal="left"/>
    </xf>
    <xf numFmtId="0" fontId="34" fillId="0" borderId="4" xfId="0" applyFont="1" applyFill="1" applyBorder="1" applyAlignment="1">
      <alignment horizontal="left"/>
    </xf>
    <xf numFmtId="0" fontId="27" fillId="0" borderId="30" xfId="0" applyFont="1" applyBorder="1" applyAlignment="1">
      <alignment horizontal="left" vertical="top"/>
    </xf>
    <xf numFmtId="0" fontId="27" fillId="0" borderId="31" xfId="0" applyFont="1" applyBorder="1" applyAlignment="1">
      <alignment horizontal="left" vertical="top"/>
    </xf>
    <xf numFmtId="0" fontId="27" fillId="0" borderId="32" xfId="0" applyFont="1" applyBorder="1" applyAlignment="1">
      <alignment horizontal="left" vertical="top"/>
    </xf>
    <xf numFmtId="0" fontId="21" fillId="6" borderId="131" xfId="0" applyFont="1" applyFill="1" applyBorder="1" applyAlignment="1">
      <alignment horizontal="left" vertical="top"/>
    </xf>
    <xf numFmtId="0" fontId="21" fillId="6" borderId="56" xfId="0" applyFont="1" applyFill="1" applyBorder="1" applyAlignment="1">
      <alignment horizontal="left" vertical="top"/>
    </xf>
    <xf numFmtId="0" fontId="21" fillId="6" borderId="103" xfId="0" applyFont="1" applyFill="1" applyBorder="1" applyAlignment="1">
      <alignment horizontal="left" vertical="top"/>
    </xf>
    <xf numFmtId="0" fontId="21" fillId="6" borderId="89" xfId="0" applyFont="1" applyFill="1" applyBorder="1" applyAlignment="1">
      <alignment horizontal="left" vertical="top"/>
    </xf>
    <xf numFmtId="0" fontId="21" fillId="6" borderId="126" xfId="0" applyFont="1" applyFill="1" applyBorder="1" applyAlignment="1">
      <alignment horizontal="left" vertical="top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14" fontId="0" fillId="0" borderId="20" xfId="0" applyNumberFormat="1" applyBorder="1" applyAlignment="1">
      <alignment horizontal="center" vertical="top"/>
    </xf>
    <xf numFmtId="14" fontId="0" fillId="0" borderId="12" xfId="0" applyNumberFormat="1" applyBorder="1" applyAlignment="1">
      <alignment horizontal="center" vertical="top"/>
    </xf>
    <xf numFmtId="14" fontId="0" fillId="0" borderId="13" xfId="0" applyNumberFormat="1" applyBorder="1" applyAlignment="1">
      <alignment horizontal="center" vertical="top"/>
    </xf>
    <xf numFmtId="0" fontId="48" fillId="8" borderId="10" xfId="0" applyFont="1" applyFill="1" applyBorder="1" applyAlignment="1">
      <alignment horizontal="center" vertical="center"/>
    </xf>
    <xf numFmtId="0" fontId="48" fillId="13" borderId="10" xfId="0" applyFont="1" applyFill="1" applyBorder="1" applyAlignment="1">
      <alignment horizontal="center" vertical="center"/>
    </xf>
  </cellXfs>
  <cellStyles count="23">
    <cellStyle name="Euro" xfId="1"/>
    <cellStyle name="Euro 2" xfId="2"/>
    <cellStyle name="Euro 2 2" xfId="3"/>
    <cellStyle name="Euro 3" xfId="4"/>
    <cellStyle name="Hyperlink 2" xfId="6"/>
    <cellStyle name="Link" xfId="5" builtinId="8"/>
    <cellStyle name="Normal_030709_QAF_Spezifizierung_1.8" xfId="7"/>
    <cellStyle name="Prozent" xfId="8" builtinId="5"/>
    <cellStyle name="Prozent 2" xfId="22"/>
    <cellStyle name="Standard" xfId="0" builtinId="0"/>
    <cellStyle name="Standard 2" xfId="9"/>
    <cellStyle name="Standard 2 2" xfId="10"/>
    <cellStyle name="Standard 2 3" xfId="11"/>
    <cellStyle name="Standard 3" xfId="12"/>
    <cellStyle name="Standard 4" xfId="13"/>
    <cellStyle name="Standard 5" xfId="14"/>
    <cellStyle name="Standard 6" xfId="15"/>
    <cellStyle name="Standard 7" xfId="16"/>
    <cellStyle name="Standard_Machine Rate" xfId="21"/>
    <cellStyle name="Währung 2" xfId="17"/>
    <cellStyle name="Währung 2 2" xfId="18"/>
    <cellStyle name="Währung 3" xfId="19"/>
    <cellStyle name="Währung 4" xfId="20"/>
  </cellStyles>
  <dxfs count="55"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fill>
        <patternFill patternType="none">
          <bgColor indexed="65"/>
        </patternFill>
      </fill>
    </dxf>
    <dxf>
      <font>
        <name val="BMW Group Light"/>
        <scheme val="none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0F0F0"/>
        </patternFill>
      </fill>
    </dxf>
    <dxf>
      <border>
        <top style="medium">
          <color indexed="64"/>
        </top>
        <bottom style="medium">
          <color indexed="64"/>
        </bottom>
      </border>
    </dxf>
    <dxf>
      <fill>
        <patternFill>
          <bgColor rgb="FFF0F0F0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499984740745262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lightUp">
          <bgColor theme="0"/>
        </patternFill>
      </fill>
    </dxf>
    <dxf>
      <fill>
        <patternFill patternType="lightUp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lightUp">
          <bgColor theme="0"/>
        </patternFill>
      </fill>
    </dxf>
    <dxf>
      <fill>
        <patternFill patternType="lightUp">
          <bgColor theme="0"/>
        </patternFill>
      </fill>
    </dxf>
    <dxf>
      <fill>
        <patternFill patternType="lightUp">
          <bgColor theme="0"/>
        </patternFill>
      </fill>
    </dxf>
    <dxf>
      <fill>
        <patternFill patternType="lightUp">
          <bgColor theme="0" tint="-4.9989318521683403E-2"/>
        </patternFill>
      </fill>
    </dxf>
    <dxf>
      <fill>
        <patternFill patternType="lightUp"/>
      </fill>
    </dxf>
    <dxf>
      <fill>
        <patternFill patternType="lightUp"/>
      </fill>
    </dxf>
    <dxf>
      <fill>
        <patternFill patternType="lightUp">
          <bgColor theme="0" tint="-4.9989318521683403E-2"/>
        </patternFill>
      </fill>
    </dxf>
    <dxf>
      <fill>
        <patternFill patternType="lightUp">
          <bgColor theme="0" tint="-4.9989318521683403E-2"/>
        </patternFill>
      </fill>
    </dxf>
    <dxf>
      <fill>
        <patternFill patternType="lightUp"/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 patternType="solid">
          <bgColor theme="0"/>
        </patternFill>
      </fill>
    </dxf>
    <dxf>
      <fill>
        <patternFill>
          <bgColor rgb="FFE9E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rgb="FFE9E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3" defaultTableStyle="TableStyleMedium9" defaultPivotStyle="PivotStyleLight16">
    <tableStyle name="PivotTable-Format 1" table="0" count="0"/>
    <tableStyle name="PivotTable-Format 2" table="0" count="1">
      <tableStyleElement type="wholeTable" dxfId="54"/>
    </tableStyle>
    <tableStyle name="PivotTable-Format 3" table="0" count="1">
      <tableStyleElement type="wholeTable" dxfId="53"/>
    </tableStyle>
  </tableStyles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1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109539</xdr:colOff>
      <xdr:row>5</xdr:row>
      <xdr:rowOff>66676</xdr:rowOff>
    </xdr:from>
    <xdr:to>
      <xdr:col>42</xdr:col>
      <xdr:colOff>648867</xdr:colOff>
      <xdr:row>17</xdr:row>
      <xdr:rowOff>0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64127" y="1100139"/>
          <a:ext cx="8683203" cy="4600574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40</xdr:row>
      <xdr:rowOff>38100</xdr:rowOff>
    </xdr:from>
    <xdr:to>
      <xdr:col>34</xdr:col>
      <xdr:colOff>278552</xdr:colOff>
      <xdr:row>62</xdr:row>
      <xdr:rowOff>56676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725" y="7829550"/>
          <a:ext cx="19476190" cy="379047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62</xdr:row>
      <xdr:rowOff>0</xdr:rowOff>
    </xdr:from>
    <xdr:to>
      <xdr:col>34</xdr:col>
      <xdr:colOff>249970</xdr:colOff>
      <xdr:row>69</xdr:row>
      <xdr:rowOff>76040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1563350"/>
          <a:ext cx="19533333" cy="1276190"/>
        </a:xfrm>
        <a:prstGeom prst="rect">
          <a:avLst/>
        </a:prstGeom>
      </xdr:spPr>
    </xdr:pic>
    <xdr:clientData/>
  </xdr:twoCellAnchor>
  <xdr:twoCellAnchor>
    <xdr:from>
      <xdr:col>36</xdr:col>
      <xdr:colOff>471487</xdr:colOff>
      <xdr:row>10</xdr:row>
      <xdr:rowOff>971550</xdr:rowOff>
    </xdr:from>
    <xdr:to>
      <xdr:col>36</xdr:col>
      <xdr:colOff>733425</xdr:colOff>
      <xdr:row>14</xdr:row>
      <xdr:rowOff>61913</xdr:rowOff>
    </xdr:to>
    <xdr:sp macro="" textlink="">
      <xdr:nvSpPr>
        <xdr:cNvPr id="5" name="Ellipse 4"/>
        <xdr:cNvSpPr/>
      </xdr:nvSpPr>
      <xdr:spPr>
        <a:xfrm>
          <a:off x="21383625" y="2990850"/>
          <a:ext cx="261938" cy="1785938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v04524.bmwgroup.net\q208652\Kalkulationsbeispiele\E39M&#220;\KA%20E39M&#220;%20Scheinwerfe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urope.bmw.corp\WINFS\02_Methoden\01_Kostenmodelle\10_Down_Load\Updates\170314_Update%20B2B_MPro\M%20PRO%20alt\DOK_160831_Logistik%20Analyse%20Form%20LAF_6.03.01_d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ntranet.mann-hummel.de/Vorlagen/Vorkalkulation%202000/Sicherheitskopien/GRANDB9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usammenfassung"/>
      <sheetName val="Summary"/>
      <sheetName val="Abschlußscheibe"/>
      <sheetName val="MMS SGM ADS"/>
      <sheetName val="Abdeckrahmen"/>
      <sheetName val="MMS SGM ADR"/>
      <sheetName val="Gehäuse"/>
      <sheetName val="BLL-Gehäuse"/>
      <sheetName val="Bli.L-Abdeckscheibe"/>
      <sheetName val="Streuscheibe BLL"/>
      <sheetName val="Streuscheibe PosLicht"/>
      <sheetName val="Bli.L-Tubus"/>
      <sheetName val="Strahlenblende"/>
      <sheetName val="Tubus"/>
      <sheetName val="Schutzhauben"/>
      <sheetName val="Halteplatte"/>
      <sheetName val="Rohstoff"/>
      <sheetName val="Zyklusze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packung"/>
      <sheetName val="Transport"/>
      <sheetName val="Units"/>
      <sheetName val="LVP"/>
      <sheetName val="Dokumentenlenkung"/>
    </sheetNames>
    <sheetDataSet>
      <sheetData sheetId="0" refreshError="1"/>
      <sheetData sheetId="1" refreshError="1"/>
      <sheetData sheetId="2">
        <row r="2">
          <cell r="A2" t="str">
            <v>EUR</v>
          </cell>
        </row>
        <row r="3">
          <cell r="A3" t="str">
            <v>USD</v>
          </cell>
        </row>
        <row r="4">
          <cell r="A4" t="str">
            <v>CNY</v>
          </cell>
        </row>
        <row r="7">
          <cell r="A7" t="str">
            <v>km</v>
          </cell>
        </row>
        <row r="8">
          <cell r="A8" t="str">
            <v>miles</v>
          </cell>
        </row>
        <row r="11">
          <cell r="A11" t="str">
            <v>FTL (Full Truck Load)</v>
          </cell>
        </row>
        <row r="12">
          <cell r="A12" t="str">
            <v>Milk run</v>
          </cell>
        </row>
        <row r="13">
          <cell r="A13" t="str">
            <v>LTL (Less than Truck Load)</v>
          </cell>
        </row>
        <row r="14">
          <cell r="A14" t="str">
            <v>FCL (Full Container Load)</v>
          </cell>
        </row>
        <row r="15">
          <cell r="A15" t="str">
            <v>LCL (Less than Container Load)</v>
          </cell>
        </row>
        <row r="18">
          <cell r="A18" t="str">
            <v>Container - 20'</v>
          </cell>
        </row>
        <row r="19">
          <cell r="A19" t="str">
            <v>Container - 40'</v>
          </cell>
        </row>
        <row r="20">
          <cell r="A20" t="str">
            <v>Container - 40' High Cube</v>
          </cell>
        </row>
        <row r="21">
          <cell r="A21" t="str">
            <v>EU - Megatrailer</v>
          </cell>
        </row>
        <row r="22">
          <cell r="A22" t="str">
            <v>EU - Jumbo</v>
          </cell>
        </row>
        <row r="23">
          <cell r="A23" t="str">
            <v>EU - 7.5 Tonner</v>
          </cell>
        </row>
        <row r="24">
          <cell r="A24" t="str">
            <v>US - Truck 53'</v>
          </cell>
        </row>
        <row r="25">
          <cell r="A25" t="str">
            <v>CN - 8to</v>
          </cell>
        </row>
        <row r="26">
          <cell r="A26" t="str">
            <v>CN - 20to</v>
          </cell>
        </row>
        <row r="27">
          <cell r="A27" t="str">
            <v>CN - 25to</v>
          </cell>
        </row>
        <row r="28">
          <cell r="A28" t="str">
            <v>CN - 30to</v>
          </cell>
        </row>
        <row r="31">
          <cell r="A31" t="str">
            <v>Oneway</v>
          </cell>
        </row>
        <row r="32">
          <cell r="A32" t="str">
            <v>Returnables</v>
          </cell>
        </row>
      </sheetData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NDB98"/>
    </sheetNames>
    <sheetDataSet>
      <sheetData sheetId="0" refreshError="1">
        <row r="4">
          <cell r="A4">
            <v>1610000000</v>
          </cell>
          <cell r="B4" t="str">
            <v>PA6GF10M20</v>
          </cell>
          <cell r="C4" t="str">
            <v>flitter</v>
          </cell>
          <cell r="H4">
            <v>4.95</v>
          </cell>
          <cell r="AF4" t="str">
            <v/>
          </cell>
          <cell r="AG4" t="str">
            <v/>
          </cell>
        </row>
        <row r="5">
          <cell r="A5">
            <v>1620000000</v>
          </cell>
          <cell r="B5" t="str">
            <v>PA6GF10M20</v>
          </cell>
          <cell r="C5" t="str">
            <v>flitter</v>
          </cell>
          <cell r="D5" t="str">
            <v>siehe PA5214 v.27.03.98  MB Pkt.1</v>
          </cell>
          <cell r="H5">
            <v>7</v>
          </cell>
          <cell r="AF5" t="str">
            <v/>
          </cell>
          <cell r="AG5" t="str">
            <v/>
          </cell>
        </row>
        <row r="6">
          <cell r="A6">
            <v>1630000000</v>
          </cell>
          <cell r="B6" t="str">
            <v>PPXMODGF30</v>
          </cell>
          <cell r="C6" t="str">
            <v>flitter</v>
          </cell>
          <cell r="H6">
            <v>4.05</v>
          </cell>
        </row>
        <row r="7">
          <cell r="A7">
            <v>1640000000</v>
          </cell>
          <cell r="B7" t="str">
            <v>PPLGF30</v>
          </cell>
          <cell r="C7" t="str">
            <v>flitter</v>
          </cell>
          <cell r="H7">
            <v>4.72</v>
          </cell>
        </row>
        <row r="8">
          <cell r="A8">
            <v>1650000000</v>
          </cell>
          <cell r="B8" t="str">
            <v>Flittergran</v>
          </cell>
          <cell r="C8" t="str">
            <v>DU PONT</v>
          </cell>
          <cell r="H8">
            <v>6.3</v>
          </cell>
        </row>
        <row r="9">
          <cell r="A9">
            <v>1660000000</v>
          </cell>
          <cell r="B9" t="str">
            <v>Flittergrau</v>
          </cell>
          <cell r="C9" t="str">
            <v>BASF</v>
          </cell>
          <cell r="H9">
            <v>5.8</v>
          </cell>
        </row>
        <row r="10">
          <cell r="A10">
            <v>1670222000</v>
          </cell>
          <cell r="B10" t="str">
            <v>Polyethylen</v>
          </cell>
          <cell r="C10" t="str">
            <v>PE</v>
          </cell>
          <cell r="D10" t="str">
            <v>Lupolen 1810 H natur</v>
          </cell>
          <cell r="E10">
            <v>0.92</v>
          </cell>
          <cell r="G10" t="str">
            <v>BAS</v>
          </cell>
          <cell r="H10">
            <v>2.35</v>
          </cell>
          <cell r="I10">
            <v>2.5</v>
          </cell>
          <cell r="J10">
            <v>2.25</v>
          </cell>
          <cell r="K10">
            <v>2.25</v>
          </cell>
          <cell r="L10">
            <v>2.25</v>
          </cell>
          <cell r="M10">
            <v>2.25</v>
          </cell>
          <cell r="N10">
            <v>2.25</v>
          </cell>
          <cell r="O10">
            <v>2.25</v>
          </cell>
          <cell r="AF10">
            <v>2.25</v>
          </cell>
          <cell r="AG10">
            <v>2.25</v>
          </cell>
          <cell r="AH10">
            <v>2.25</v>
          </cell>
          <cell r="AI10">
            <v>2.35</v>
          </cell>
        </row>
        <row r="11">
          <cell r="A11">
            <v>1670222001</v>
          </cell>
          <cell r="B11" t="str">
            <v>Polyethylen</v>
          </cell>
          <cell r="C11" t="str">
            <v>PE</v>
          </cell>
          <cell r="D11" t="str">
            <v>Lupolen 1852 H schwarz 413</v>
          </cell>
          <cell r="E11">
            <v>0.93100000000000005</v>
          </cell>
          <cell r="G11" t="str">
            <v>BAS</v>
          </cell>
          <cell r="H11">
            <v>3.15</v>
          </cell>
          <cell r="I11">
            <v>2.75</v>
          </cell>
          <cell r="J11">
            <v>2.5499999999999998</v>
          </cell>
          <cell r="K11">
            <v>2.5499999999999998</v>
          </cell>
          <cell r="L11">
            <v>2.5499999999999998</v>
          </cell>
          <cell r="M11">
            <v>2.5499999999999998</v>
          </cell>
          <cell r="N11">
            <v>2.5499999999999998</v>
          </cell>
          <cell r="O11">
            <v>2.5499999999999998</v>
          </cell>
          <cell r="AF11">
            <v>2.5499999999999998</v>
          </cell>
          <cell r="AG11">
            <v>2.5499999999999998</v>
          </cell>
          <cell r="AH11">
            <v>2.85</v>
          </cell>
          <cell r="AI11">
            <v>3.15</v>
          </cell>
        </row>
        <row r="12">
          <cell r="A12">
            <v>1670222008</v>
          </cell>
          <cell r="B12" t="str">
            <v>Polyethylen</v>
          </cell>
          <cell r="C12" t="str">
            <v>PE</v>
          </cell>
          <cell r="D12" t="str">
            <v>Lupolen 4261 A natur</v>
          </cell>
          <cell r="E12">
            <v>0.94499999999999995</v>
          </cell>
          <cell r="G12" t="str">
            <v>BAS</v>
          </cell>
          <cell r="H12">
            <v>3.35</v>
          </cell>
          <cell r="I12">
            <v>2.7</v>
          </cell>
          <cell r="J12">
            <v>2.5</v>
          </cell>
          <cell r="K12">
            <v>2.5</v>
          </cell>
          <cell r="L12">
            <v>2.5</v>
          </cell>
          <cell r="M12">
            <v>2.5</v>
          </cell>
          <cell r="N12">
            <v>2.5</v>
          </cell>
          <cell r="O12">
            <v>2.5</v>
          </cell>
          <cell r="P12">
            <v>2.5</v>
          </cell>
          <cell r="Q12">
            <v>2.5</v>
          </cell>
          <cell r="R12">
            <v>2.5</v>
          </cell>
          <cell r="S12">
            <v>2.5</v>
          </cell>
          <cell r="T12">
            <v>2.5</v>
          </cell>
          <cell r="U12">
            <v>2.5</v>
          </cell>
          <cell r="V12">
            <v>2.5</v>
          </cell>
          <cell r="W12">
            <v>2.5</v>
          </cell>
          <cell r="X12">
            <v>2.5</v>
          </cell>
          <cell r="Y12">
            <v>3.05</v>
          </cell>
          <cell r="Z12">
            <v>3.05</v>
          </cell>
          <cell r="AA12">
            <v>3.05</v>
          </cell>
          <cell r="AB12">
            <v>3.05</v>
          </cell>
          <cell r="AC12">
            <v>3.05</v>
          </cell>
          <cell r="AD12">
            <v>3.05</v>
          </cell>
          <cell r="AF12">
            <v>3.05</v>
          </cell>
          <cell r="AG12">
            <v>2.5</v>
          </cell>
          <cell r="AH12">
            <v>3.05</v>
          </cell>
          <cell r="AI12">
            <v>3.35</v>
          </cell>
          <cell r="AJ12">
            <v>37500</v>
          </cell>
        </row>
        <row r="13">
          <cell r="A13">
            <v>1670622000</v>
          </cell>
          <cell r="B13" t="str">
            <v>Polypropylen</v>
          </cell>
          <cell r="C13" t="str">
            <v>PP</v>
          </cell>
          <cell r="D13" t="str">
            <v>Hostalen PPN 1060 schwarz</v>
          </cell>
          <cell r="E13">
            <v>0.90500000000000003</v>
          </cell>
          <cell r="G13" t="str">
            <v>Targor</v>
          </cell>
          <cell r="H13">
            <v>2.35</v>
          </cell>
          <cell r="I13">
            <v>1.8</v>
          </cell>
          <cell r="J13">
            <v>1.65</v>
          </cell>
          <cell r="K13">
            <v>1.65</v>
          </cell>
          <cell r="L13">
            <v>1.65</v>
          </cell>
          <cell r="M13">
            <v>1.8</v>
          </cell>
          <cell r="N13">
            <v>1.8</v>
          </cell>
          <cell r="O13">
            <v>1.8</v>
          </cell>
          <cell r="P13">
            <v>1.8</v>
          </cell>
          <cell r="Q13">
            <v>1.8</v>
          </cell>
          <cell r="R13">
            <v>1.8</v>
          </cell>
          <cell r="S13">
            <v>1.8</v>
          </cell>
          <cell r="T13">
            <v>1.8</v>
          </cell>
          <cell r="U13">
            <v>1.8</v>
          </cell>
          <cell r="V13">
            <v>1.8</v>
          </cell>
          <cell r="W13">
            <v>1.8</v>
          </cell>
          <cell r="X13">
            <v>1.8</v>
          </cell>
          <cell r="Y13">
            <v>1.95</v>
          </cell>
          <cell r="Z13">
            <v>1.95</v>
          </cell>
          <cell r="AA13">
            <v>1.95</v>
          </cell>
          <cell r="AB13">
            <v>2.15</v>
          </cell>
          <cell r="AC13">
            <v>2.15</v>
          </cell>
          <cell r="AD13">
            <v>2.15</v>
          </cell>
          <cell r="AF13">
            <v>2.15</v>
          </cell>
          <cell r="AG13">
            <v>1.65</v>
          </cell>
          <cell r="AH13">
            <v>2.4500000000000002</v>
          </cell>
          <cell r="AI13">
            <v>2.7</v>
          </cell>
          <cell r="AJ13">
            <v>26050</v>
          </cell>
        </row>
        <row r="14">
          <cell r="A14">
            <v>1670622003</v>
          </cell>
          <cell r="B14" t="str">
            <v>Polypropylen</v>
          </cell>
          <cell r="C14" t="str">
            <v>PP</v>
          </cell>
          <cell r="D14" t="str">
            <v>Novolen 1300 EX natur</v>
          </cell>
          <cell r="E14">
            <v>0.9</v>
          </cell>
          <cell r="G14" t="str">
            <v>Targor</v>
          </cell>
          <cell r="H14">
            <v>3.05</v>
          </cell>
          <cell r="I14">
            <v>2.65</v>
          </cell>
          <cell r="J14">
            <v>2.4500000000000002</v>
          </cell>
          <cell r="K14">
            <v>2.4500000000000002</v>
          </cell>
          <cell r="L14">
            <v>2.4500000000000002</v>
          </cell>
          <cell r="M14">
            <v>2.4500000000000002</v>
          </cell>
          <cell r="N14">
            <v>2.4500000000000002</v>
          </cell>
          <cell r="O14">
            <v>2.4500000000000002</v>
          </cell>
          <cell r="AF14">
            <v>2.4500000000000002</v>
          </cell>
          <cell r="AG14">
            <v>2.4500000000000002</v>
          </cell>
          <cell r="AH14">
            <v>2.75</v>
          </cell>
          <cell r="AI14">
            <v>3.05</v>
          </cell>
        </row>
        <row r="15">
          <cell r="A15">
            <v>1670622005</v>
          </cell>
          <cell r="B15" t="str">
            <v>Polypropylen</v>
          </cell>
          <cell r="C15" t="str">
            <v>PP</v>
          </cell>
          <cell r="D15" t="str">
            <v>Hostalen PPH 4150 natur 1% Remafin PAP</v>
          </cell>
          <cell r="E15">
            <v>0.90500000000000003</v>
          </cell>
          <cell r="G15" t="str">
            <v>Targor</v>
          </cell>
          <cell r="H15">
            <v>9.85</v>
          </cell>
          <cell r="AF15" t="str">
            <v/>
          </cell>
          <cell r="AG15" t="str">
            <v/>
          </cell>
          <cell r="AH15">
            <v>9.85</v>
          </cell>
          <cell r="AI15">
            <v>9.85</v>
          </cell>
        </row>
        <row r="16">
          <cell r="A16">
            <v>1670622007</v>
          </cell>
          <cell r="B16" t="str">
            <v>Polypropylen</v>
          </cell>
          <cell r="C16" t="str">
            <v>PP</v>
          </cell>
          <cell r="D16" t="str">
            <v>Hostalen PPR 1042 schwarz</v>
          </cell>
          <cell r="E16">
            <v>0.90300000000000002</v>
          </cell>
          <cell r="G16" t="str">
            <v>Targor</v>
          </cell>
          <cell r="H16">
            <v>2.6</v>
          </cell>
          <cell r="I16">
            <v>2.1</v>
          </cell>
          <cell r="J16">
            <v>2</v>
          </cell>
          <cell r="K16">
            <v>2</v>
          </cell>
          <cell r="L16">
            <v>2</v>
          </cell>
          <cell r="M16">
            <v>2</v>
          </cell>
          <cell r="N16">
            <v>2</v>
          </cell>
          <cell r="O16">
            <v>2</v>
          </cell>
          <cell r="P16">
            <v>2</v>
          </cell>
          <cell r="Q16">
            <v>2</v>
          </cell>
          <cell r="R16">
            <v>2</v>
          </cell>
          <cell r="S16">
            <v>2</v>
          </cell>
          <cell r="T16">
            <v>2</v>
          </cell>
          <cell r="U16">
            <v>2</v>
          </cell>
          <cell r="V16">
            <v>2</v>
          </cell>
          <cell r="W16">
            <v>2</v>
          </cell>
          <cell r="X16">
            <v>2</v>
          </cell>
          <cell r="Y16">
            <v>2.0499999999999998</v>
          </cell>
          <cell r="Z16">
            <v>2.0499999999999998</v>
          </cell>
          <cell r="AA16">
            <v>2.0499999999999998</v>
          </cell>
          <cell r="AB16">
            <v>2.25</v>
          </cell>
          <cell r="AC16">
            <v>2.25</v>
          </cell>
          <cell r="AD16">
            <v>2.25</v>
          </cell>
          <cell r="AF16">
            <v>2.25</v>
          </cell>
          <cell r="AG16">
            <v>2</v>
          </cell>
          <cell r="AH16">
            <v>2.25</v>
          </cell>
          <cell r="AI16">
            <v>2.6</v>
          </cell>
        </row>
        <row r="17">
          <cell r="A17">
            <v>1670622009</v>
          </cell>
          <cell r="B17" t="str">
            <v>Polypropylen</v>
          </cell>
          <cell r="C17" t="str">
            <v>PP</v>
          </cell>
          <cell r="D17" t="str">
            <v>Hostalen VP 7342 schwarz flammgesch.</v>
          </cell>
          <cell r="E17">
            <v>0.94</v>
          </cell>
          <cell r="G17" t="str">
            <v>Voerde</v>
          </cell>
          <cell r="H17">
            <v>5.05</v>
          </cell>
          <cell r="I17">
            <v>5</v>
          </cell>
          <cell r="J17">
            <v>4.75</v>
          </cell>
          <cell r="K17">
            <v>4.75</v>
          </cell>
          <cell r="L17">
            <v>4.75</v>
          </cell>
          <cell r="M17">
            <v>4.75</v>
          </cell>
          <cell r="N17">
            <v>4.75</v>
          </cell>
          <cell r="O17">
            <v>4.75</v>
          </cell>
          <cell r="AF17">
            <v>4.75</v>
          </cell>
          <cell r="AG17">
            <v>4.75</v>
          </cell>
          <cell r="AH17">
            <v>4.75</v>
          </cell>
          <cell r="AI17">
            <v>5.05</v>
          </cell>
        </row>
        <row r="18">
          <cell r="A18">
            <v>1670622011</v>
          </cell>
          <cell r="B18" t="str">
            <v>Polypropylen</v>
          </cell>
          <cell r="C18" t="str">
            <v>PP</v>
          </cell>
          <cell r="D18" t="str">
            <v>Hostalen PPR VP 7342 grau flammgesch.</v>
          </cell>
          <cell r="E18">
            <v>0.94</v>
          </cell>
          <cell r="G18" t="str">
            <v>Voerde</v>
          </cell>
          <cell r="H18">
            <v>6.1</v>
          </cell>
          <cell r="I18">
            <v>5.9</v>
          </cell>
          <cell r="J18">
            <v>5.8</v>
          </cell>
          <cell r="K18">
            <v>5.8</v>
          </cell>
          <cell r="L18">
            <v>5.8</v>
          </cell>
          <cell r="M18">
            <v>5.8</v>
          </cell>
          <cell r="N18">
            <v>5.8</v>
          </cell>
          <cell r="O18">
            <v>5.8</v>
          </cell>
          <cell r="AF18">
            <v>5.8</v>
          </cell>
          <cell r="AG18">
            <v>5.8</v>
          </cell>
          <cell r="AH18">
            <v>5.8</v>
          </cell>
          <cell r="AI18">
            <v>6.1</v>
          </cell>
        </row>
        <row r="19">
          <cell r="A19">
            <v>1670622012</v>
          </cell>
          <cell r="B19" t="str">
            <v>Polypropylen</v>
          </cell>
          <cell r="C19" t="str">
            <v>PP</v>
          </cell>
          <cell r="D19" t="str">
            <v>Hostalen PPN 1060 grau</v>
          </cell>
          <cell r="E19">
            <v>0.90500000000000003</v>
          </cell>
          <cell r="G19" t="str">
            <v>Voerde</v>
          </cell>
          <cell r="H19">
            <v>4.7</v>
          </cell>
          <cell r="I19">
            <v>4.0999999999999996</v>
          </cell>
          <cell r="J19">
            <v>4.0999999999999996</v>
          </cell>
          <cell r="K19">
            <v>4.0999999999999996</v>
          </cell>
          <cell r="L19">
            <v>4.0999999999999996</v>
          </cell>
          <cell r="M19">
            <v>4.0999999999999996</v>
          </cell>
          <cell r="N19">
            <v>4.0999999999999996</v>
          </cell>
          <cell r="O19">
            <v>4.0999999999999996</v>
          </cell>
          <cell r="AF19">
            <v>4.0999999999999996</v>
          </cell>
          <cell r="AG19">
            <v>4.0999999999999996</v>
          </cell>
          <cell r="AH19">
            <v>4.4000000000000004</v>
          </cell>
          <cell r="AI19">
            <v>4.7</v>
          </cell>
        </row>
        <row r="20">
          <cell r="A20">
            <v>1670622015</v>
          </cell>
          <cell r="B20" t="str">
            <v>Polypropylen</v>
          </cell>
          <cell r="C20" t="str">
            <v>PP</v>
          </cell>
          <cell r="D20" t="str">
            <v>Vestolen P 5202 sw hochwärmebeständig</v>
          </cell>
          <cell r="E20">
            <v>0.90500000000000003</v>
          </cell>
          <cell r="G20" t="str">
            <v>Vest</v>
          </cell>
          <cell r="H20">
            <v>2.75</v>
          </cell>
          <cell r="I20">
            <v>2.2000000000000002</v>
          </cell>
          <cell r="J20">
            <v>2.15</v>
          </cell>
          <cell r="K20">
            <v>2.15</v>
          </cell>
          <cell r="L20">
            <v>2.15</v>
          </cell>
          <cell r="M20">
            <v>2.15</v>
          </cell>
          <cell r="N20">
            <v>2.15</v>
          </cell>
          <cell r="O20">
            <v>2.15</v>
          </cell>
          <cell r="AF20">
            <v>2.15</v>
          </cell>
          <cell r="AG20">
            <v>2.15</v>
          </cell>
          <cell r="AH20">
            <v>2.15</v>
          </cell>
          <cell r="AI20">
            <v>2.75</v>
          </cell>
        </row>
        <row r="21">
          <cell r="A21">
            <v>1670722003</v>
          </cell>
          <cell r="B21" t="str">
            <v>Polypropylen-gfv</v>
          </cell>
          <cell r="C21" t="str">
            <v>PP-GF20</v>
          </cell>
          <cell r="D21" t="str">
            <v>Hostalen PPN VP 7780 - GV 20 schwarz</v>
          </cell>
          <cell r="E21">
            <v>1.05</v>
          </cell>
          <cell r="G21" t="str">
            <v>Targor</v>
          </cell>
          <cell r="H21">
            <v>4.5</v>
          </cell>
          <cell r="I21">
            <v>3.5</v>
          </cell>
          <cell r="J21">
            <v>3.22</v>
          </cell>
          <cell r="K21">
            <v>3</v>
          </cell>
          <cell r="L21">
            <v>3</v>
          </cell>
          <cell r="M21">
            <v>3.22</v>
          </cell>
          <cell r="N21">
            <v>3.22</v>
          </cell>
          <cell r="O21">
            <v>3</v>
          </cell>
          <cell r="P21">
            <v>3</v>
          </cell>
          <cell r="Q21">
            <v>3</v>
          </cell>
          <cell r="R21">
            <v>3</v>
          </cell>
          <cell r="S21">
            <v>3</v>
          </cell>
          <cell r="T21">
            <v>3</v>
          </cell>
          <cell r="U21">
            <v>3</v>
          </cell>
          <cell r="V21">
            <v>3</v>
          </cell>
          <cell r="W21">
            <v>3</v>
          </cell>
          <cell r="X21">
            <v>3</v>
          </cell>
          <cell r="Y21">
            <v>3.5</v>
          </cell>
          <cell r="Z21">
            <v>3.5</v>
          </cell>
          <cell r="AA21">
            <v>3.5</v>
          </cell>
          <cell r="AB21">
            <v>3.7</v>
          </cell>
          <cell r="AC21">
            <v>3.7</v>
          </cell>
          <cell r="AD21">
            <v>3.7</v>
          </cell>
          <cell r="AF21">
            <v>3.7</v>
          </cell>
          <cell r="AG21">
            <v>3</v>
          </cell>
          <cell r="AH21">
            <v>4</v>
          </cell>
          <cell r="AI21">
            <v>4.5</v>
          </cell>
          <cell r="AJ21">
            <v>25700</v>
          </cell>
        </row>
        <row r="22">
          <cell r="A22">
            <v>1670722201</v>
          </cell>
          <cell r="B22" t="str">
            <v>Polypropylen-gfv</v>
          </cell>
          <cell r="C22" t="str">
            <v>PP-GF20</v>
          </cell>
          <cell r="D22" t="str">
            <v>Tecnoprene A60 K4 GV 20% schwarz</v>
          </cell>
          <cell r="E22">
            <v>1.04</v>
          </cell>
          <cell r="G22" t="str">
            <v>Eni</v>
          </cell>
          <cell r="H22" t="str">
            <v/>
          </cell>
          <cell r="I22">
            <v>3.9</v>
          </cell>
          <cell r="AF22" t="str">
            <v/>
          </cell>
          <cell r="AG22" t="str">
            <v/>
          </cell>
          <cell r="AK22" t="str">
            <v>bei Bedarf anfragen</v>
          </cell>
        </row>
        <row r="23">
          <cell r="A23">
            <v>1670722202</v>
          </cell>
          <cell r="B23" t="str">
            <v>Polypropylen-gfv</v>
          </cell>
          <cell r="C23" t="str">
            <v>PP-GF30</v>
          </cell>
          <cell r="D23" t="str">
            <v>Hostalen PPN 7790 - GV 2/30 schwarz</v>
          </cell>
          <cell r="E23">
            <v>1.1399999999999999</v>
          </cell>
          <cell r="F23" t="str">
            <v>S</v>
          </cell>
          <cell r="G23" t="str">
            <v>Targor</v>
          </cell>
          <cell r="H23">
            <v>2.75</v>
          </cell>
          <cell r="I23">
            <v>3.65</v>
          </cell>
          <cell r="J23">
            <v>3.22</v>
          </cell>
          <cell r="K23">
            <v>3</v>
          </cell>
          <cell r="L23">
            <v>3</v>
          </cell>
          <cell r="M23">
            <v>3.22</v>
          </cell>
          <cell r="N23">
            <v>3.22</v>
          </cell>
          <cell r="O23">
            <v>3</v>
          </cell>
          <cell r="P23">
            <v>3</v>
          </cell>
          <cell r="Q23">
            <v>3</v>
          </cell>
          <cell r="R23">
            <v>3</v>
          </cell>
          <cell r="S23">
            <v>3</v>
          </cell>
          <cell r="T23">
            <v>2.6</v>
          </cell>
          <cell r="U23">
            <v>2.6</v>
          </cell>
          <cell r="V23">
            <v>2.6</v>
          </cell>
          <cell r="W23">
            <v>2.6</v>
          </cell>
          <cell r="X23">
            <v>2.6</v>
          </cell>
          <cell r="Y23">
            <v>3.5</v>
          </cell>
          <cell r="Z23">
            <v>3.5</v>
          </cell>
          <cell r="AA23">
            <v>3.5</v>
          </cell>
          <cell r="AB23">
            <v>3.7</v>
          </cell>
          <cell r="AC23">
            <v>3.7</v>
          </cell>
          <cell r="AD23">
            <v>3.7</v>
          </cell>
          <cell r="AF23">
            <v>3.7</v>
          </cell>
          <cell r="AG23">
            <v>2.6</v>
          </cell>
          <cell r="AH23">
            <v>3.4</v>
          </cell>
          <cell r="AI23">
            <v>4.2</v>
          </cell>
          <cell r="AJ23">
            <v>206140</v>
          </cell>
        </row>
        <row r="24">
          <cell r="A24">
            <v>1670722206</v>
          </cell>
          <cell r="B24" t="str">
            <v>Polypropylen-gfv</v>
          </cell>
          <cell r="C24" t="str">
            <v>PP-GF</v>
          </cell>
          <cell r="D24" t="str">
            <v>Procom GC 30 J 401 grau JC 291</v>
          </cell>
          <cell r="E24">
            <v>1.1200000000000001</v>
          </cell>
          <cell r="G24" t="str">
            <v>Targor</v>
          </cell>
          <cell r="H24">
            <v>3.1</v>
          </cell>
          <cell r="I24">
            <v>4.0999999999999996</v>
          </cell>
          <cell r="J24">
            <v>3.95</v>
          </cell>
          <cell r="K24">
            <v>3.95</v>
          </cell>
          <cell r="L24">
            <v>4.05</v>
          </cell>
          <cell r="M24">
            <v>4.05</v>
          </cell>
          <cell r="N24">
            <v>4.05</v>
          </cell>
          <cell r="O24">
            <v>4.05</v>
          </cell>
          <cell r="AF24">
            <v>4.05</v>
          </cell>
          <cell r="AG24">
            <v>3.95</v>
          </cell>
          <cell r="AH24">
            <v>4.05</v>
          </cell>
          <cell r="AI24">
            <v>4.5</v>
          </cell>
          <cell r="AJ24">
            <v>25</v>
          </cell>
          <cell r="AK24" t="str">
            <v>zu DuPont verlagert</v>
          </cell>
        </row>
        <row r="25">
          <cell r="A25">
            <v>1670822000</v>
          </cell>
          <cell r="B25" t="str">
            <v>Polypropylen-tv</v>
          </cell>
          <cell r="C25" t="str">
            <v>PP-T20</v>
          </cell>
          <cell r="D25" t="str">
            <v>Vestolen P 5232 T - T 20% schwarz</v>
          </cell>
          <cell r="E25">
            <v>1.04</v>
          </cell>
          <cell r="F25" t="str">
            <v>2S</v>
          </cell>
          <cell r="G25" t="str">
            <v>Vest</v>
          </cell>
          <cell r="H25">
            <v>1.75</v>
          </cell>
          <cell r="I25">
            <v>1.7</v>
          </cell>
          <cell r="J25">
            <v>1.6</v>
          </cell>
          <cell r="K25">
            <v>1.6</v>
          </cell>
          <cell r="L25">
            <v>1.6</v>
          </cell>
          <cell r="M25">
            <v>1.5</v>
          </cell>
          <cell r="N25">
            <v>1.5</v>
          </cell>
          <cell r="O25">
            <v>1.5</v>
          </cell>
          <cell r="P25">
            <v>1.5</v>
          </cell>
          <cell r="Q25">
            <v>1.5</v>
          </cell>
          <cell r="R25">
            <v>1.5</v>
          </cell>
          <cell r="S25">
            <v>1.5</v>
          </cell>
          <cell r="T25">
            <v>1.5</v>
          </cell>
          <cell r="U25">
            <v>1.5</v>
          </cell>
          <cell r="V25">
            <v>1.5</v>
          </cell>
          <cell r="W25">
            <v>1.5</v>
          </cell>
          <cell r="X25">
            <v>1.5</v>
          </cell>
          <cell r="Y25">
            <v>1.77</v>
          </cell>
          <cell r="Z25">
            <v>1.77</v>
          </cell>
          <cell r="AA25">
            <v>1.77</v>
          </cell>
          <cell r="AB25">
            <v>1.82</v>
          </cell>
          <cell r="AC25">
            <v>1.82</v>
          </cell>
          <cell r="AD25">
            <v>1.82</v>
          </cell>
          <cell r="AF25">
            <v>1.82</v>
          </cell>
          <cell r="AG25">
            <v>1.5</v>
          </cell>
          <cell r="AH25">
            <v>1.82</v>
          </cell>
          <cell r="AI25">
            <v>2.12</v>
          </cell>
          <cell r="AJ25">
            <v>1734945</v>
          </cell>
          <cell r="AK25" t="str">
            <v>ca. 15% auf Basis 1996</v>
          </cell>
        </row>
        <row r="26">
          <cell r="A26">
            <v>1670822001</v>
          </cell>
          <cell r="B26" t="str">
            <v>Polypropylen-tv</v>
          </cell>
          <cell r="C26" t="str">
            <v>PP-T20</v>
          </cell>
          <cell r="D26" t="str">
            <v>SC PPH 20T04E SC100</v>
          </cell>
          <cell r="E26">
            <v>1.04</v>
          </cell>
          <cell r="G26" t="str">
            <v>Targor</v>
          </cell>
          <cell r="H26">
            <v>1.4</v>
          </cell>
          <cell r="Y26">
            <v>1.85</v>
          </cell>
          <cell r="Z26">
            <v>1.85</v>
          </cell>
          <cell r="AA26">
            <v>1.85</v>
          </cell>
          <cell r="AB26">
            <v>1.9</v>
          </cell>
          <cell r="AC26">
            <v>1.9</v>
          </cell>
          <cell r="AD26">
            <v>1.9</v>
          </cell>
          <cell r="AF26">
            <v>1.9</v>
          </cell>
          <cell r="AG26">
            <v>1.85</v>
          </cell>
          <cell r="AH26">
            <v>1.9</v>
          </cell>
          <cell r="AK26" t="str">
            <v>ca. 15% auf Basis 1996</v>
          </cell>
        </row>
        <row r="27">
          <cell r="A27">
            <v>1670822002</v>
          </cell>
          <cell r="B27" t="str">
            <v>Polypropylen-mv</v>
          </cell>
          <cell r="C27" t="str">
            <v>PP-MV</v>
          </cell>
          <cell r="D27" t="str">
            <v>Latene 7H 2 WT-VO flammgesch. schwarz</v>
          </cell>
          <cell r="E27">
            <v>1.32</v>
          </cell>
          <cell r="G27" t="str">
            <v>Lat</v>
          </cell>
          <cell r="H27">
            <v>7.15</v>
          </cell>
          <cell r="I27">
            <v>6.7</v>
          </cell>
          <cell r="J27">
            <v>6.55</v>
          </cell>
          <cell r="K27">
            <v>6.55</v>
          </cell>
          <cell r="L27">
            <v>6.55</v>
          </cell>
          <cell r="M27">
            <v>6.55</v>
          </cell>
          <cell r="N27">
            <v>6.55</v>
          </cell>
          <cell r="O27">
            <v>6.55</v>
          </cell>
          <cell r="AF27">
            <v>6.55</v>
          </cell>
          <cell r="AG27">
            <v>6.55</v>
          </cell>
          <cell r="AH27">
            <v>6.85</v>
          </cell>
          <cell r="AI27">
            <v>7.15</v>
          </cell>
        </row>
        <row r="28">
          <cell r="A28">
            <v>1670822003</v>
          </cell>
          <cell r="B28" t="str">
            <v>Polypropylen-tv</v>
          </cell>
          <cell r="C28" t="str">
            <v>PP-T20</v>
          </cell>
          <cell r="D28" t="str">
            <v>Vestolen P 5232 T - T 20% grau 7032</v>
          </cell>
          <cell r="E28">
            <v>1.04</v>
          </cell>
          <cell r="G28" t="str">
            <v>Vest</v>
          </cell>
          <cell r="H28">
            <v>2.2000000000000002</v>
          </cell>
          <cell r="I28">
            <v>1.95</v>
          </cell>
          <cell r="J28">
            <v>1.9</v>
          </cell>
          <cell r="K28">
            <v>1.9</v>
          </cell>
          <cell r="L28">
            <v>1.9</v>
          </cell>
          <cell r="M28">
            <v>1.9</v>
          </cell>
          <cell r="N28">
            <v>1.9</v>
          </cell>
          <cell r="O28">
            <v>1.9</v>
          </cell>
          <cell r="AF28">
            <v>1.9</v>
          </cell>
          <cell r="AG28">
            <v>1.9</v>
          </cell>
          <cell r="AH28">
            <v>1.9</v>
          </cell>
          <cell r="AI28">
            <v>2.2000000000000002</v>
          </cell>
        </row>
        <row r="29">
          <cell r="A29">
            <v>1670822004</v>
          </cell>
          <cell r="B29" t="str">
            <v>Polypropylen-tv</v>
          </cell>
          <cell r="C29" t="str">
            <v>PP-T40</v>
          </cell>
          <cell r="D29" t="str">
            <v>Hostalen PPU 7190 - T 40%</v>
          </cell>
          <cell r="E29">
            <v>1.21</v>
          </cell>
          <cell r="G29" t="str">
            <v>Targor</v>
          </cell>
          <cell r="H29">
            <v>2.65</v>
          </cell>
          <cell r="I29">
            <v>1.7</v>
          </cell>
          <cell r="J29">
            <v>2.0499999999999998</v>
          </cell>
          <cell r="K29">
            <v>2.0499999999999998</v>
          </cell>
          <cell r="L29">
            <v>2.0499999999999998</v>
          </cell>
          <cell r="M29">
            <v>2.0499999999999998</v>
          </cell>
          <cell r="N29">
            <v>2.0499999999999998</v>
          </cell>
          <cell r="O29">
            <v>2.0499999999999998</v>
          </cell>
          <cell r="AF29">
            <v>2.0499999999999998</v>
          </cell>
          <cell r="AG29">
            <v>2.0499999999999998</v>
          </cell>
          <cell r="AH29">
            <v>2.35</v>
          </cell>
          <cell r="AI29">
            <v>2.65</v>
          </cell>
        </row>
        <row r="30">
          <cell r="A30">
            <v>1670822011</v>
          </cell>
          <cell r="B30" t="str">
            <v>Polypropylen-tv</v>
          </cell>
          <cell r="C30" t="str">
            <v>PP-T30</v>
          </cell>
          <cell r="E30">
            <v>1.1399999999999999</v>
          </cell>
          <cell r="G30" t="str">
            <v>Poly</v>
          </cell>
          <cell r="H30">
            <v>1.27</v>
          </cell>
          <cell r="AF30" t="str">
            <v/>
          </cell>
          <cell r="AG30" t="str">
            <v/>
          </cell>
          <cell r="AK30" t="str">
            <v>bei Bedarf anfragen</v>
          </cell>
        </row>
        <row r="31">
          <cell r="A31">
            <v>1672522000</v>
          </cell>
          <cell r="B31" t="str">
            <v>Polyacetal</v>
          </cell>
          <cell r="C31" t="str">
            <v>POM</v>
          </cell>
          <cell r="D31" t="str">
            <v>Hostaform C 2521 natur</v>
          </cell>
          <cell r="E31">
            <v>1.41</v>
          </cell>
          <cell r="G31" t="str">
            <v>Tico</v>
          </cell>
          <cell r="H31">
            <v>8</v>
          </cell>
          <cell r="I31">
            <v>7.4</v>
          </cell>
          <cell r="J31">
            <v>7.3</v>
          </cell>
          <cell r="K31">
            <v>7.3</v>
          </cell>
          <cell r="L31">
            <v>7.3</v>
          </cell>
          <cell r="M31">
            <v>7.3</v>
          </cell>
          <cell r="N31">
            <v>7.3</v>
          </cell>
          <cell r="O31">
            <v>7.3</v>
          </cell>
          <cell r="AF31">
            <v>7.3</v>
          </cell>
          <cell r="AG31">
            <v>7.3</v>
          </cell>
          <cell r="AH31">
            <v>7.7</v>
          </cell>
          <cell r="AI31">
            <v>8</v>
          </cell>
        </row>
        <row r="32">
          <cell r="A32">
            <v>1672522001</v>
          </cell>
          <cell r="B32" t="str">
            <v>Polyacetal</v>
          </cell>
          <cell r="C32" t="str">
            <v>POM</v>
          </cell>
          <cell r="D32" t="str">
            <v>Hostaform C 9020 rot 46</v>
          </cell>
          <cell r="E32">
            <v>1.41</v>
          </cell>
          <cell r="G32" t="str">
            <v>Tico</v>
          </cell>
          <cell r="H32">
            <v>8.8000000000000007</v>
          </cell>
          <cell r="I32">
            <v>8.25</v>
          </cell>
          <cell r="J32">
            <v>8.1</v>
          </cell>
          <cell r="K32">
            <v>8.1</v>
          </cell>
          <cell r="L32">
            <v>8.1</v>
          </cell>
          <cell r="M32">
            <v>8.1</v>
          </cell>
          <cell r="N32">
            <v>8.1</v>
          </cell>
          <cell r="O32">
            <v>8.1</v>
          </cell>
          <cell r="AF32">
            <v>8.1</v>
          </cell>
          <cell r="AG32">
            <v>8.1</v>
          </cell>
          <cell r="AH32">
            <v>8.5</v>
          </cell>
          <cell r="AI32">
            <v>8.8000000000000007</v>
          </cell>
        </row>
        <row r="33">
          <cell r="A33">
            <v>1672522002</v>
          </cell>
          <cell r="B33" t="str">
            <v>Polyacetal</v>
          </cell>
          <cell r="C33" t="str">
            <v>POM</v>
          </cell>
          <cell r="D33" t="str">
            <v>Hostaform C 9020 schwarz 12</v>
          </cell>
          <cell r="E33">
            <v>1.41</v>
          </cell>
          <cell r="G33" t="str">
            <v>Tico</v>
          </cell>
          <cell r="H33">
            <v>8.9</v>
          </cell>
          <cell r="I33">
            <v>7.7</v>
          </cell>
          <cell r="J33">
            <v>7.55</v>
          </cell>
          <cell r="K33">
            <v>7.55</v>
          </cell>
          <cell r="L33">
            <v>7.55</v>
          </cell>
          <cell r="M33">
            <v>7.55</v>
          </cell>
          <cell r="N33">
            <v>7.55</v>
          </cell>
          <cell r="O33">
            <v>7.55</v>
          </cell>
          <cell r="AF33">
            <v>7.55</v>
          </cell>
          <cell r="AG33">
            <v>7.55</v>
          </cell>
          <cell r="AH33">
            <v>8.6</v>
          </cell>
          <cell r="AI33">
            <v>8.9</v>
          </cell>
        </row>
        <row r="34">
          <cell r="A34">
            <v>1673222005</v>
          </cell>
          <cell r="B34" t="str">
            <v>Polyamid 66</v>
          </cell>
          <cell r="C34" t="str">
            <v>PA66</v>
          </cell>
          <cell r="D34" t="str">
            <v>Ultramid A4H schwarz 464 UV-Lichtbest.</v>
          </cell>
          <cell r="G34" t="str">
            <v>BAS</v>
          </cell>
          <cell r="H34">
            <v>9.65</v>
          </cell>
          <cell r="X34">
            <v>9.65</v>
          </cell>
          <cell r="AF34">
            <v>9.65</v>
          </cell>
          <cell r="AG34">
            <v>9.65</v>
          </cell>
          <cell r="AH34">
            <v>9.65</v>
          </cell>
          <cell r="AI34">
            <v>9.65</v>
          </cell>
          <cell r="AJ34">
            <v>500</v>
          </cell>
        </row>
        <row r="35">
          <cell r="A35">
            <v>1673322001</v>
          </cell>
          <cell r="B35" t="str">
            <v>Polyamid 66-gfv</v>
          </cell>
          <cell r="C35" t="str">
            <v>PA66-GF35</v>
          </cell>
          <cell r="D35" t="str">
            <v>Technyl A 218 V 35 schwarz 21</v>
          </cell>
          <cell r="E35">
            <v>1.41</v>
          </cell>
          <cell r="G35" t="str">
            <v>Nylt</v>
          </cell>
          <cell r="H35">
            <v>7</v>
          </cell>
          <cell r="I35">
            <v>6.5</v>
          </cell>
          <cell r="J35">
            <v>5.8</v>
          </cell>
          <cell r="K35">
            <v>5.8</v>
          </cell>
          <cell r="L35">
            <v>5.8</v>
          </cell>
          <cell r="M35">
            <v>5.8</v>
          </cell>
          <cell r="N35">
            <v>5.8</v>
          </cell>
          <cell r="O35">
            <v>5.8</v>
          </cell>
          <cell r="AF35">
            <v>5.8</v>
          </cell>
          <cell r="AG35">
            <v>5.8</v>
          </cell>
          <cell r="AH35">
            <v>6.4</v>
          </cell>
          <cell r="AI35">
            <v>7</v>
          </cell>
        </row>
        <row r="36">
          <cell r="A36">
            <v>1673322002</v>
          </cell>
          <cell r="B36" t="str">
            <v>Polyamid 66-gfv</v>
          </cell>
          <cell r="C36" t="str">
            <v>PA66-GF35</v>
          </cell>
          <cell r="D36" t="str">
            <v>Maranyl XA 455S tiefdunkelgrau 9R43</v>
          </cell>
          <cell r="E36">
            <v>1.39</v>
          </cell>
          <cell r="G36" t="str">
            <v>DuP</v>
          </cell>
          <cell r="H36">
            <v>4.8499999999999996</v>
          </cell>
          <cell r="I36">
            <v>5.35</v>
          </cell>
          <cell r="J36">
            <v>5.0999999999999996</v>
          </cell>
          <cell r="K36">
            <v>5.0999999999999996</v>
          </cell>
          <cell r="L36">
            <v>5.0999999999999996</v>
          </cell>
          <cell r="M36">
            <v>5.0999999999999996</v>
          </cell>
          <cell r="N36">
            <v>5.0999999999999996</v>
          </cell>
          <cell r="O36">
            <v>5.0999999999999996</v>
          </cell>
          <cell r="AF36">
            <v>5.0999999999999996</v>
          </cell>
          <cell r="AG36">
            <v>5.0999999999999996</v>
          </cell>
          <cell r="AH36">
            <v>5.0999999999999996</v>
          </cell>
          <cell r="AI36">
            <v>5.6</v>
          </cell>
          <cell r="AJ36">
            <v>24575</v>
          </cell>
        </row>
        <row r="37">
          <cell r="A37">
            <v>1673322003</v>
          </cell>
          <cell r="B37" t="str">
            <v>Polyamid 66-gfv</v>
          </cell>
          <cell r="C37" t="str">
            <v>PA66-GF35</v>
          </cell>
          <cell r="D37" t="str">
            <v>Maranyl A 323 S schwarz 9120 GV35</v>
          </cell>
          <cell r="E37">
            <v>1.39</v>
          </cell>
          <cell r="F37" t="str">
            <v>S</v>
          </cell>
          <cell r="G37" t="str">
            <v>DuP</v>
          </cell>
          <cell r="H37">
            <v>4.9000000000000004</v>
          </cell>
          <cell r="I37">
            <v>5.35</v>
          </cell>
          <cell r="J37">
            <v>4.95</v>
          </cell>
          <cell r="K37">
            <v>4.8499999999999996</v>
          </cell>
          <cell r="L37">
            <v>4.8499999999999996</v>
          </cell>
          <cell r="M37">
            <v>4.75</v>
          </cell>
          <cell r="N37">
            <v>4.6500000000000004</v>
          </cell>
          <cell r="O37">
            <v>4.6500000000000004</v>
          </cell>
          <cell r="P37">
            <v>4.6500000000000004</v>
          </cell>
          <cell r="Q37">
            <v>4.6500000000000004</v>
          </cell>
          <cell r="R37">
            <v>4.6500000000000004</v>
          </cell>
          <cell r="S37">
            <v>4.6500000000000004</v>
          </cell>
          <cell r="T37">
            <v>4.6500000000000004</v>
          </cell>
          <cell r="U37">
            <v>4.6500000000000004</v>
          </cell>
          <cell r="V37">
            <v>4.6500000000000004</v>
          </cell>
          <cell r="W37">
            <v>4.6500000000000004</v>
          </cell>
          <cell r="X37">
            <v>4.6500000000000004</v>
          </cell>
          <cell r="Y37">
            <v>5.0999999999999996</v>
          </cell>
          <cell r="Z37">
            <v>5.0999999999999996</v>
          </cell>
          <cell r="AA37">
            <v>5.0999999999999996</v>
          </cell>
          <cell r="AB37">
            <v>5.0999999999999996</v>
          </cell>
          <cell r="AC37">
            <v>5.0999999999999996</v>
          </cell>
          <cell r="AD37">
            <v>5.0999999999999996</v>
          </cell>
          <cell r="AF37">
            <v>5.0999999999999996</v>
          </cell>
          <cell r="AG37">
            <v>4.6500000000000004</v>
          </cell>
          <cell r="AH37">
            <v>5.0999999999999996</v>
          </cell>
          <cell r="AI37">
            <v>5.6</v>
          </cell>
          <cell r="AJ37">
            <v>742560</v>
          </cell>
        </row>
        <row r="38">
          <cell r="A38">
            <v>1673322004</v>
          </cell>
          <cell r="B38" t="str">
            <v>Polyamid 66-gfv</v>
          </cell>
          <cell r="C38" t="str">
            <v>PA66-GF35</v>
          </cell>
          <cell r="D38" t="str">
            <v>Ultramid A3 HG 7 schwarz</v>
          </cell>
          <cell r="E38">
            <v>1.4</v>
          </cell>
          <cell r="G38" t="str">
            <v>BAS</v>
          </cell>
          <cell r="H38">
            <v>6.9</v>
          </cell>
          <cell r="I38">
            <v>6.3</v>
          </cell>
          <cell r="J38">
            <v>5.7</v>
          </cell>
          <cell r="K38">
            <v>5.7</v>
          </cell>
          <cell r="L38">
            <v>5.7</v>
          </cell>
          <cell r="M38">
            <v>5.7</v>
          </cell>
          <cell r="N38">
            <v>5.7</v>
          </cell>
          <cell r="O38">
            <v>5.7</v>
          </cell>
          <cell r="AF38">
            <v>5.7</v>
          </cell>
          <cell r="AG38">
            <v>5.7</v>
          </cell>
          <cell r="AH38">
            <v>6.3</v>
          </cell>
          <cell r="AI38">
            <v>6.9</v>
          </cell>
          <cell r="AJ38">
            <v>6200</v>
          </cell>
        </row>
        <row r="39">
          <cell r="A39">
            <v>1673322008</v>
          </cell>
          <cell r="B39" t="str">
            <v>Polyamid 66-gfv</v>
          </cell>
          <cell r="C39" t="str">
            <v>PA66-GF13</v>
          </cell>
          <cell r="D39" t="str">
            <v>Zytel 79 G13 HSL GY-258</v>
          </cell>
          <cell r="E39">
            <v>1.23</v>
          </cell>
          <cell r="G39" t="str">
            <v>DuP</v>
          </cell>
          <cell r="H39">
            <v>9.15</v>
          </cell>
          <cell r="I39">
            <v>8.6</v>
          </cell>
          <cell r="J39">
            <v>8.51</v>
          </cell>
          <cell r="K39">
            <v>8.51</v>
          </cell>
          <cell r="L39">
            <v>8.51</v>
          </cell>
          <cell r="M39">
            <v>8.51</v>
          </cell>
          <cell r="N39">
            <v>8.51</v>
          </cell>
          <cell r="O39">
            <v>8.51</v>
          </cell>
          <cell r="AF39">
            <v>8.51</v>
          </cell>
          <cell r="AG39">
            <v>8.51</v>
          </cell>
          <cell r="AH39">
            <v>8.51</v>
          </cell>
          <cell r="AI39">
            <v>9.15</v>
          </cell>
        </row>
        <row r="40">
          <cell r="A40">
            <v>1673322009</v>
          </cell>
          <cell r="B40" t="str">
            <v>Polyamid 66-gfv</v>
          </cell>
          <cell r="C40" t="str">
            <v>PA66-GF33</v>
          </cell>
          <cell r="D40" t="str">
            <v>Maranyl A 190-GF 33% natur</v>
          </cell>
          <cell r="E40">
            <v>1.39</v>
          </cell>
          <cell r="G40" t="str">
            <v>DuP</v>
          </cell>
          <cell r="H40">
            <v>5.85</v>
          </cell>
          <cell r="I40">
            <v>5.35</v>
          </cell>
          <cell r="J40">
            <v>5.25</v>
          </cell>
          <cell r="K40">
            <v>5.25</v>
          </cell>
          <cell r="L40">
            <v>5.25</v>
          </cell>
          <cell r="M40">
            <v>5.25</v>
          </cell>
          <cell r="N40">
            <v>5.25</v>
          </cell>
          <cell r="O40">
            <v>5.25</v>
          </cell>
          <cell r="AF40">
            <v>5.25</v>
          </cell>
          <cell r="AG40">
            <v>5.25</v>
          </cell>
          <cell r="AH40">
            <v>5.25</v>
          </cell>
          <cell r="AI40">
            <v>5.85</v>
          </cell>
        </row>
        <row r="41">
          <cell r="A41">
            <v>1673322013</v>
          </cell>
          <cell r="B41" t="str">
            <v>Polyamid 66</v>
          </cell>
          <cell r="C41" t="str">
            <v>PA66-GF15</v>
          </cell>
          <cell r="D41" t="str">
            <v>Ultramid A3 ZG3 grau-22734 GV15</v>
          </cell>
          <cell r="E41">
            <v>1.23</v>
          </cell>
          <cell r="G41" t="str">
            <v>BAS</v>
          </cell>
          <cell r="H41">
            <v>8.75</v>
          </cell>
          <cell r="I41">
            <v>8.4</v>
          </cell>
          <cell r="J41">
            <v>7.75</v>
          </cell>
          <cell r="K41">
            <v>7.75</v>
          </cell>
          <cell r="L41">
            <v>7.75</v>
          </cell>
          <cell r="M41">
            <v>7.75</v>
          </cell>
          <cell r="N41">
            <v>7.75</v>
          </cell>
          <cell r="O41">
            <v>7.75</v>
          </cell>
          <cell r="AF41">
            <v>7.75</v>
          </cell>
          <cell r="AG41">
            <v>7.75</v>
          </cell>
          <cell r="AH41">
            <v>8.35</v>
          </cell>
          <cell r="AI41">
            <v>8.75</v>
          </cell>
          <cell r="AJ41">
            <v>1985</v>
          </cell>
        </row>
        <row r="42">
          <cell r="A42">
            <v>1673322014</v>
          </cell>
          <cell r="B42" t="str">
            <v>Polyamid 66-gfv</v>
          </cell>
          <cell r="C42" t="str">
            <v>PA66-GF35</v>
          </cell>
          <cell r="D42" t="str">
            <v>Ultramid A3 HG7 Q17 schwarz 20560 GV35</v>
          </cell>
          <cell r="E42">
            <v>1.41</v>
          </cell>
          <cell r="G42" t="str">
            <v>BAS</v>
          </cell>
          <cell r="H42">
            <v>4.8</v>
          </cell>
          <cell r="I42">
            <v>6.05</v>
          </cell>
          <cell r="J42">
            <v>5.5</v>
          </cell>
          <cell r="K42">
            <v>5.5</v>
          </cell>
          <cell r="L42">
            <v>5.5</v>
          </cell>
          <cell r="M42">
            <v>5.5</v>
          </cell>
          <cell r="N42">
            <v>5.5</v>
          </cell>
          <cell r="O42">
            <v>5.5</v>
          </cell>
          <cell r="AF42">
            <v>5.5</v>
          </cell>
          <cell r="AG42">
            <v>5.5</v>
          </cell>
          <cell r="AH42">
            <v>5.35</v>
          </cell>
          <cell r="AI42">
            <v>5.75</v>
          </cell>
        </row>
        <row r="43">
          <cell r="A43">
            <v>1673422000</v>
          </cell>
          <cell r="B43" t="str">
            <v>Polyamid 6</v>
          </cell>
          <cell r="C43" t="str">
            <v>PA6</v>
          </cell>
          <cell r="D43" t="str">
            <v>Ultramid B 3 S natur</v>
          </cell>
          <cell r="E43">
            <v>1.1399999999999999</v>
          </cell>
          <cell r="G43" t="str">
            <v>BAS</v>
          </cell>
          <cell r="H43">
            <v>6.8</v>
          </cell>
          <cell r="I43">
            <v>6.6</v>
          </cell>
          <cell r="J43">
            <v>5.8</v>
          </cell>
          <cell r="K43">
            <v>5.8</v>
          </cell>
          <cell r="L43">
            <v>5.8</v>
          </cell>
          <cell r="M43">
            <v>5.8</v>
          </cell>
          <cell r="N43">
            <v>5.8</v>
          </cell>
          <cell r="O43">
            <v>5.8</v>
          </cell>
          <cell r="AF43">
            <v>5.8</v>
          </cell>
          <cell r="AG43">
            <v>5.8</v>
          </cell>
          <cell r="AH43">
            <v>6.4</v>
          </cell>
          <cell r="AI43">
            <v>6.8</v>
          </cell>
        </row>
        <row r="44">
          <cell r="A44">
            <v>1673422002</v>
          </cell>
          <cell r="B44" t="str">
            <v>Polyamid 6</v>
          </cell>
          <cell r="C44" t="str">
            <v>PA6</v>
          </cell>
          <cell r="D44" t="str">
            <v>Ultramid B 3 S schwarz</v>
          </cell>
          <cell r="E44">
            <v>1.1399999999999999</v>
          </cell>
          <cell r="G44" t="str">
            <v>BAS</v>
          </cell>
          <cell r="H44">
            <v>5.8</v>
          </cell>
          <cell r="I44">
            <v>6.8</v>
          </cell>
          <cell r="J44">
            <v>5.8</v>
          </cell>
          <cell r="K44">
            <v>5.8</v>
          </cell>
          <cell r="L44">
            <v>5.8</v>
          </cell>
          <cell r="M44">
            <v>5.8</v>
          </cell>
          <cell r="N44">
            <v>5.8</v>
          </cell>
          <cell r="O44">
            <v>5.8</v>
          </cell>
          <cell r="P44">
            <v>5.8</v>
          </cell>
          <cell r="Q44">
            <v>5.8</v>
          </cell>
          <cell r="R44">
            <v>5.8</v>
          </cell>
          <cell r="S44">
            <v>5.8</v>
          </cell>
          <cell r="T44">
            <v>5.8</v>
          </cell>
          <cell r="U44">
            <v>5.8</v>
          </cell>
          <cell r="V44">
            <v>5.8</v>
          </cell>
          <cell r="W44">
            <v>5.8</v>
          </cell>
          <cell r="X44">
            <v>5.8</v>
          </cell>
          <cell r="Y44">
            <v>5.8</v>
          </cell>
          <cell r="Z44">
            <v>5.8</v>
          </cell>
          <cell r="AA44">
            <v>5.8</v>
          </cell>
          <cell r="AB44">
            <v>5.8</v>
          </cell>
          <cell r="AC44">
            <v>5.8</v>
          </cell>
          <cell r="AD44">
            <v>5.8</v>
          </cell>
          <cell r="AF44">
            <v>5.8</v>
          </cell>
          <cell r="AG44">
            <v>5.8</v>
          </cell>
          <cell r="AH44">
            <v>6.4</v>
          </cell>
          <cell r="AI44">
            <v>6.7</v>
          </cell>
        </row>
        <row r="45">
          <cell r="A45">
            <v>1673422004</v>
          </cell>
          <cell r="B45" t="str">
            <v>Polyamid 6</v>
          </cell>
          <cell r="C45" t="str">
            <v>PA6</v>
          </cell>
          <cell r="D45" t="str">
            <v>Ultramid B 3 S rot 17100</v>
          </cell>
          <cell r="E45">
            <v>1.1399999999999999</v>
          </cell>
          <cell r="G45" t="str">
            <v>BAS</v>
          </cell>
          <cell r="H45">
            <v>9.5</v>
          </cell>
          <cell r="I45">
            <v>8.4</v>
          </cell>
          <cell r="J45">
            <v>9.15</v>
          </cell>
          <cell r="K45">
            <v>9.15</v>
          </cell>
          <cell r="L45">
            <v>9.15</v>
          </cell>
          <cell r="M45">
            <v>8.5</v>
          </cell>
          <cell r="N45">
            <v>8.5</v>
          </cell>
          <cell r="O45">
            <v>8.5</v>
          </cell>
          <cell r="AF45">
            <v>9.15</v>
          </cell>
          <cell r="AG45">
            <v>8.5</v>
          </cell>
          <cell r="AH45">
            <v>9.1</v>
          </cell>
          <cell r="AI45">
            <v>9.5</v>
          </cell>
          <cell r="AJ45">
            <v>500</v>
          </cell>
        </row>
        <row r="46">
          <cell r="A46">
            <v>1673422005</v>
          </cell>
          <cell r="B46" t="str">
            <v>Polyamid 6</v>
          </cell>
          <cell r="C46" t="str">
            <v>PA6</v>
          </cell>
          <cell r="D46" t="str">
            <v>Sniamid ASN 27 T glasklar</v>
          </cell>
          <cell r="E46">
            <v>1.1200000000000001</v>
          </cell>
          <cell r="G46" t="str">
            <v>Nylt</v>
          </cell>
          <cell r="H46">
            <v>8.25</v>
          </cell>
          <cell r="I46">
            <v>8.1</v>
          </cell>
          <cell r="J46">
            <v>7.95</v>
          </cell>
          <cell r="K46">
            <v>7.95</v>
          </cell>
          <cell r="L46">
            <v>7.95</v>
          </cell>
          <cell r="M46">
            <v>7.95</v>
          </cell>
          <cell r="N46">
            <v>7.95</v>
          </cell>
          <cell r="O46">
            <v>7.95</v>
          </cell>
          <cell r="P46">
            <v>7.95</v>
          </cell>
          <cell r="Q46">
            <v>7.95</v>
          </cell>
          <cell r="R46">
            <v>7.95</v>
          </cell>
          <cell r="S46">
            <v>7.95</v>
          </cell>
          <cell r="T46">
            <v>7.95</v>
          </cell>
          <cell r="U46">
            <v>7.95</v>
          </cell>
          <cell r="V46">
            <v>7.95</v>
          </cell>
          <cell r="W46">
            <v>7.95</v>
          </cell>
          <cell r="X46">
            <v>7.95</v>
          </cell>
          <cell r="Y46">
            <v>7.95</v>
          </cell>
          <cell r="Z46">
            <v>7.95</v>
          </cell>
          <cell r="AA46">
            <v>8.25</v>
          </cell>
          <cell r="AB46">
            <v>8.25</v>
          </cell>
          <cell r="AC46">
            <v>8.25</v>
          </cell>
          <cell r="AD46">
            <v>8.25</v>
          </cell>
          <cell r="AF46">
            <v>8.25</v>
          </cell>
          <cell r="AG46">
            <v>7.95</v>
          </cell>
          <cell r="AH46">
            <v>8.25</v>
          </cell>
          <cell r="AI46">
            <v>8.5</v>
          </cell>
          <cell r="AJ46">
            <v>3975</v>
          </cell>
        </row>
        <row r="47">
          <cell r="A47">
            <v>1673422007</v>
          </cell>
          <cell r="B47" t="str">
            <v>Polyamid 12</v>
          </cell>
          <cell r="C47" t="str">
            <v>PA12</v>
          </cell>
          <cell r="D47" t="str">
            <v>schwarz, geschätzter Preis Nr. stimmt nicht</v>
          </cell>
          <cell r="E47">
            <v>1.01</v>
          </cell>
          <cell r="G47" t="str">
            <v>Hül</v>
          </cell>
          <cell r="H47">
            <v>15</v>
          </cell>
          <cell r="I47">
            <v>17.600000000000001</v>
          </cell>
          <cell r="J47">
            <v>17.55</v>
          </cell>
          <cell r="K47">
            <v>17.55</v>
          </cell>
          <cell r="L47">
            <v>17.55</v>
          </cell>
          <cell r="M47">
            <v>17.55</v>
          </cell>
          <cell r="N47">
            <v>17.55</v>
          </cell>
          <cell r="O47">
            <v>17.55</v>
          </cell>
          <cell r="AF47">
            <v>17.55</v>
          </cell>
          <cell r="AG47">
            <v>17.55</v>
          </cell>
          <cell r="AH47">
            <v>17.55</v>
          </cell>
          <cell r="AI47">
            <v>17.55</v>
          </cell>
          <cell r="AJ47">
            <v>1500</v>
          </cell>
        </row>
        <row r="48">
          <cell r="A48">
            <v>1673422008</v>
          </cell>
          <cell r="B48" t="str">
            <v>Polyamid 6-3T</v>
          </cell>
          <cell r="C48" t="str">
            <v>PA6-3T</v>
          </cell>
          <cell r="D48" t="str">
            <v>Trogamid T transparent</v>
          </cell>
          <cell r="E48">
            <v>1.1200000000000001</v>
          </cell>
          <cell r="G48" t="str">
            <v>Hül</v>
          </cell>
          <cell r="H48">
            <v>17.7</v>
          </cell>
          <cell r="I48">
            <v>17.3</v>
          </cell>
          <cell r="J48">
            <v>17.3</v>
          </cell>
          <cell r="K48">
            <v>17.3</v>
          </cell>
          <cell r="L48">
            <v>17.3</v>
          </cell>
          <cell r="M48">
            <v>17.3</v>
          </cell>
          <cell r="N48">
            <v>17.3</v>
          </cell>
          <cell r="O48">
            <v>17.3</v>
          </cell>
          <cell r="AF48">
            <v>17.3</v>
          </cell>
          <cell r="AG48">
            <v>17.3</v>
          </cell>
          <cell r="AH48">
            <v>17.3</v>
          </cell>
          <cell r="AI48">
            <v>17.7</v>
          </cell>
        </row>
        <row r="49">
          <cell r="A49">
            <v>1673522003</v>
          </cell>
          <cell r="B49" t="str">
            <v>Polyamid 6-gfv</v>
          </cell>
          <cell r="C49" t="str">
            <v>PA6-GF30</v>
          </cell>
          <cell r="D49" t="str">
            <v>Ultramid B GV-E SW</v>
          </cell>
          <cell r="E49">
            <v>1.36</v>
          </cell>
          <cell r="F49" t="str">
            <v>S</v>
          </cell>
          <cell r="G49" t="str">
            <v>Leu</v>
          </cell>
          <cell r="H49">
            <v>3.6</v>
          </cell>
          <cell r="I49" t="str">
            <v xml:space="preserve">  -"-</v>
          </cell>
          <cell r="J49">
            <v>5.2</v>
          </cell>
          <cell r="K49">
            <v>5.4</v>
          </cell>
          <cell r="L49">
            <v>5.4</v>
          </cell>
          <cell r="M49">
            <v>4.4000000000000004</v>
          </cell>
          <cell r="N49">
            <v>4.4000000000000004</v>
          </cell>
          <cell r="O49">
            <v>4.4000000000000004</v>
          </cell>
          <cell r="P49">
            <v>4.4000000000000004</v>
          </cell>
          <cell r="Q49">
            <v>4.4000000000000004</v>
          </cell>
          <cell r="R49">
            <v>4.25</v>
          </cell>
          <cell r="S49">
            <v>4.25</v>
          </cell>
          <cell r="T49">
            <v>4.25</v>
          </cell>
          <cell r="U49">
            <v>4.25</v>
          </cell>
          <cell r="V49">
            <v>4.25</v>
          </cell>
          <cell r="W49">
            <v>4.25</v>
          </cell>
          <cell r="X49">
            <v>4.25</v>
          </cell>
          <cell r="Y49">
            <v>4.8499999999999996</v>
          </cell>
          <cell r="Z49">
            <v>4.8499999999999996</v>
          </cell>
          <cell r="AA49">
            <v>4.8499999999999996</v>
          </cell>
          <cell r="AB49">
            <v>4.8499999999999996</v>
          </cell>
          <cell r="AC49">
            <v>4.8499999999999996</v>
          </cell>
          <cell r="AD49">
            <v>4.8499999999999996</v>
          </cell>
          <cell r="AF49">
            <v>5.4</v>
          </cell>
          <cell r="AG49">
            <v>4.25</v>
          </cell>
          <cell r="AH49">
            <v>4.8499999999999996</v>
          </cell>
          <cell r="AJ49">
            <v>291140</v>
          </cell>
        </row>
        <row r="50">
          <cell r="A50">
            <v>1673522004</v>
          </cell>
          <cell r="B50" t="str">
            <v>Polyamid 6</v>
          </cell>
          <cell r="C50" t="str">
            <v>PA-6</v>
          </cell>
          <cell r="D50" t="str">
            <v>Ultramid A4H natur uv-licht-beständig</v>
          </cell>
          <cell r="E50">
            <v>1.1299999999999999</v>
          </cell>
          <cell r="G50" t="str">
            <v>Bay</v>
          </cell>
          <cell r="H50">
            <v>4.5999999999999996</v>
          </cell>
          <cell r="I50">
            <v>8.1</v>
          </cell>
          <cell r="J50">
            <v>7.45</v>
          </cell>
          <cell r="K50">
            <v>7.45</v>
          </cell>
          <cell r="L50">
            <v>7.45</v>
          </cell>
          <cell r="M50">
            <v>7.45</v>
          </cell>
          <cell r="N50">
            <v>7.45</v>
          </cell>
          <cell r="O50">
            <v>7.45</v>
          </cell>
          <cell r="AF50">
            <v>7.45</v>
          </cell>
          <cell r="AG50">
            <v>7.45</v>
          </cell>
        </row>
        <row r="51">
          <cell r="A51">
            <v>1673522005</v>
          </cell>
          <cell r="B51" t="str">
            <v>Polyamid 6</v>
          </cell>
          <cell r="C51" t="str">
            <v>PA-6</v>
          </cell>
          <cell r="D51" t="str">
            <v>Ultramid A4H schw. 464 uv-licht-best.</v>
          </cell>
          <cell r="E51">
            <v>1.1299999999999999</v>
          </cell>
          <cell r="G51" t="str">
            <v>Leu</v>
          </cell>
          <cell r="H51">
            <v>9.65</v>
          </cell>
          <cell r="I51">
            <v>8.1</v>
          </cell>
          <cell r="J51">
            <v>9.65</v>
          </cell>
          <cell r="K51">
            <v>9.65</v>
          </cell>
          <cell r="L51">
            <v>9.65</v>
          </cell>
          <cell r="M51">
            <v>9.65</v>
          </cell>
          <cell r="N51">
            <v>9.65</v>
          </cell>
          <cell r="O51">
            <v>9.65</v>
          </cell>
          <cell r="AF51">
            <v>9.65</v>
          </cell>
          <cell r="AG51">
            <v>9.65</v>
          </cell>
          <cell r="AH51">
            <v>9.65</v>
          </cell>
          <cell r="AI51">
            <v>9.65</v>
          </cell>
        </row>
        <row r="52">
          <cell r="A52">
            <v>1673522007</v>
          </cell>
          <cell r="B52" t="str">
            <v>Polyamid 6-gfv</v>
          </cell>
          <cell r="C52" t="str">
            <v>PA6-GF30</v>
          </cell>
          <cell r="D52" t="str">
            <v>ist 16 735 22 003, aber 3,60 DM/kg  lt. SAP</v>
          </cell>
          <cell r="E52">
            <v>1.36</v>
          </cell>
          <cell r="G52" t="str">
            <v>Bay</v>
          </cell>
          <cell r="H52">
            <v>3.85</v>
          </cell>
          <cell r="J52">
            <v>10.199999999999999</v>
          </cell>
          <cell r="K52">
            <v>10.199999999999999</v>
          </cell>
          <cell r="L52">
            <v>10.199999999999999</v>
          </cell>
          <cell r="M52">
            <v>10.199999999999999</v>
          </cell>
          <cell r="N52">
            <v>10.199999999999999</v>
          </cell>
          <cell r="O52">
            <v>10.199999999999999</v>
          </cell>
          <cell r="AF52">
            <v>10.199999999999999</v>
          </cell>
          <cell r="AG52">
            <v>10.199999999999999</v>
          </cell>
        </row>
        <row r="53">
          <cell r="A53">
            <v>1673522008</v>
          </cell>
          <cell r="B53" t="str">
            <v>Polyamid 6-gfv</v>
          </cell>
          <cell r="C53" t="str">
            <v>PA6-GF30</v>
          </cell>
          <cell r="D53" t="str">
            <v>Latamid 6 G/30 - GF30% grau</v>
          </cell>
          <cell r="E53">
            <v>1.36</v>
          </cell>
          <cell r="G53" t="str">
            <v>Lat</v>
          </cell>
          <cell r="H53">
            <v>6.6</v>
          </cell>
          <cell r="I53">
            <v>6.95</v>
          </cell>
          <cell r="J53">
            <v>6.1</v>
          </cell>
          <cell r="K53">
            <v>6.1</v>
          </cell>
          <cell r="L53">
            <v>6.1</v>
          </cell>
          <cell r="M53">
            <v>6.1</v>
          </cell>
          <cell r="N53">
            <v>6.1</v>
          </cell>
          <cell r="O53">
            <v>6.1</v>
          </cell>
          <cell r="Y53">
            <v>6.1</v>
          </cell>
          <cell r="Z53">
            <v>6.1</v>
          </cell>
          <cell r="AA53">
            <v>6.1</v>
          </cell>
          <cell r="AB53">
            <v>6.1</v>
          </cell>
          <cell r="AC53">
            <v>6.1</v>
          </cell>
          <cell r="AD53">
            <v>6.1</v>
          </cell>
          <cell r="AF53">
            <v>6.1</v>
          </cell>
          <cell r="AG53">
            <v>6.1</v>
          </cell>
          <cell r="AH53">
            <v>6.6</v>
          </cell>
          <cell r="AI53">
            <v>6.6</v>
          </cell>
          <cell r="AJ53">
            <v>4168</v>
          </cell>
        </row>
        <row r="54">
          <cell r="A54">
            <v>1673522009</v>
          </cell>
          <cell r="B54" t="str">
            <v>Polyamid 6-gfv</v>
          </cell>
          <cell r="C54" t="str">
            <v>PA6-GF30</v>
          </cell>
          <cell r="D54" t="str">
            <v>Latamid 6 G/30 - GF30% grün</v>
          </cell>
          <cell r="E54">
            <v>1.36</v>
          </cell>
          <cell r="G54" t="str">
            <v>Lat</v>
          </cell>
          <cell r="H54">
            <v>6.9</v>
          </cell>
          <cell r="I54">
            <v>7.7</v>
          </cell>
          <cell r="J54">
            <v>6.9</v>
          </cell>
          <cell r="K54">
            <v>6.9</v>
          </cell>
          <cell r="L54">
            <v>6.9</v>
          </cell>
          <cell r="M54">
            <v>6.9</v>
          </cell>
          <cell r="N54">
            <v>6.9</v>
          </cell>
          <cell r="O54">
            <v>6.9</v>
          </cell>
          <cell r="AF54">
            <v>6.9</v>
          </cell>
          <cell r="AG54">
            <v>6.9</v>
          </cell>
          <cell r="AH54">
            <v>6.9</v>
          </cell>
          <cell r="AI54">
            <v>6.9</v>
          </cell>
        </row>
        <row r="55">
          <cell r="A55">
            <v>1673522010</v>
          </cell>
          <cell r="B55" t="str">
            <v>Polyamid 6-gfv</v>
          </cell>
          <cell r="C55" t="str">
            <v>PA6-GF35</v>
          </cell>
          <cell r="D55" t="str">
            <v>Ultramid B 3 G 7 - GF 35% schwarz</v>
          </cell>
          <cell r="E55">
            <v>1.4</v>
          </cell>
          <cell r="G55" t="str">
            <v>BAS</v>
          </cell>
          <cell r="H55">
            <v>6.1</v>
          </cell>
          <cell r="I55">
            <v>7.4</v>
          </cell>
          <cell r="J55">
            <v>6.1</v>
          </cell>
          <cell r="K55">
            <v>6.1</v>
          </cell>
          <cell r="L55">
            <v>6.1</v>
          </cell>
          <cell r="M55">
            <v>6.1</v>
          </cell>
          <cell r="N55">
            <v>6.1</v>
          </cell>
          <cell r="O55">
            <v>6.1</v>
          </cell>
          <cell r="AF55">
            <v>6.1</v>
          </cell>
          <cell r="AG55">
            <v>6.1</v>
          </cell>
          <cell r="AH55">
            <v>6.1</v>
          </cell>
          <cell r="AI55">
            <v>6.1</v>
          </cell>
        </row>
        <row r="56">
          <cell r="A56">
            <v>1673522011</v>
          </cell>
          <cell r="B56" t="str">
            <v>Polyamid 6-gfv</v>
          </cell>
          <cell r="C56" t="str">
            <v>PA6GF30</v>
          </cell>
          <cell r="E56">
            <v>1.36</v>
          </cell>
          <cell r="G56" t="str">
            <v>BASF</v>
          </cell>
          <cell r="H56">
            <v>4.45</v>
          </cell>
        </row>
        <row r="57">
          <cell r="A57">
            <v>1673522013</v>
          </cell>
          <cell r="B57" t="str">
            <v>Polyamid 6-gfv</v>
          </cell>
          <cell r="C57" t="str">
            <v>PA6-GF30</v>
          </cell>
          <cell r="D57" t="str">
            <v>Grilon</v>
          </cell>
          <cell r="E57">
            <v>1.36</v>
          </cell>
          <cell r="G57" t="str">
            <v>DuP</v>
          </cell>
          <cell r="H57">
            <v>4.5</v>
          </cell>
        </row>
        <row r="58">
          <cell r="A58">
            <v>1673822001</v>
          </cell>
          <cell r="B58" t="str">
            <v>Polyamid 6-gkv</v>
          </cell>
          <cell r="C58" t="str">
            <v>PA6-GF30gkv</v>
          </cell>
          <cell r="D58" t="str">
            <v>Durethan BG 30 X - GK 30% schwarz</v>
          </cell>
          <cell r="E58">
            <v>1.36</v>
          </cell>
          <cell r="G58" t="str">
            <v>Bay</v>
          </cell>
          <cell r="H58">
            <v>6.5</v>
          </cell>
          <cell r="I58">
            <v>6.75</v>
          </cell>
          <cell r="J58">
            <v>5.5</v>
          </cell>
          <cell r="K58">
            <v>5.5</v>
          </cell>
          <cell r="L58">
            <v>5.5</v>
          </cell>
          <cell r="M58">
            <v>5.5</v>
          </cell>
          <cell r="N58">
            <v>5.5</v>
          </cell>
          <cell r="O58">
            <v>5.5</v>
          </cell>
          <cell r="Y58">
            <v>5.9</v>
          </cell>
          <cell r="Z58">
            <v>5.9</v>
          </cell>
          <cell r="AA58">
            <v>5.9</v>
          </cell>
          <cell r="AB58">
            <v>5.9</v>
          </cell>
          <cell r="AC58">
            <v>6.5</v>
          </cell>
          <cell r="AD58">
            <v>6.5</v>
          </cell>
          <cell r="AF58">
            <v>6.5</v>
          </cell>
          <cell r="AG58">
            <v>5.5</v>
          </cell>
          <cell r="AH58">
            <v>6.5</v>
          </cell>
          <cell r="AI58">
            <v>6.5</v>
          </cell>
          <cell r="AJ58">
            <v>3000</v>
          </cell>
        </row>
        <row r="59">
          <cell r="A59">
            <v>1673922001</v>
          </cell>
          <cell r="B59" t="str">
            <v>Polyamid 6-mv</v>
          </cell>
          <cell r="C59" t="str">
            <v>PA6-MV30</v>
          </cell>
          <cell r="D59" t="str">
            <v>Ultramid B3 M6-schwarz-20566 MV30%</v>
          </cell>
          <cell r="E59">
            <v>1.36</v>
          </cell>
          <cell r="G59" t="str">
            <v>BAS</v>
          </cell>
          <cell r="H59">
            <v>5.4</v>
          </cell>
          <cell r="I59">
            <v>6.4</v>
          </cell>
          <cell r="J59">
            <v>6.3</v>
          </cell>
          <cell r="K59">
            <v>6.3</v>
          </cell>
          <cell r="L59">
            <v>6.3</v>
          </cell>
          <cell r="M59">
            <v>6.3</v>
          </cell>
          <cell r="N59">
            <v>6.3</v>
          </cell>
          <cell r="O59">
            <v>6.3</v>
          </cell>
          <cell r="AF59">
            <v>6.3</v>
          </cell>
          <cell r="AG59">
            <v>6.3</v>
          </cell>
          <cell r="AH59">
            <v>6.4</v>
          </cell>
          <cell r="AI59">
            <v>6.8</v>
          </cell>
          <cell r="AJ59">
            <v>3775</v>
          </cell>
        </row>
        <row r="60">
          <cell r="A60">
            <v>1673922101</v>
          </cell>
          <cell r="B60" t="str">
            <v>Polyamid 6-GF-MV</v>
          </cell>
          <cell r="C60" t="str">
            <v>PA6-GF10-MV20</v>
          </cell>
          <cell r="D60" t="str">
            <v>Akulon K223 HGM24 MV20 - GF10</v>
          </cell>
          <cell r="G60" t="str">
            <v>DuP</v>
          </cell>
          <cell r="H60">
            <v>4.9000000000000004</v>
          </cell>
          <cell r="AF60" t="str">
            <v/>
          </cell>
          <cell r="AG60" t="str">
            <v/>
          </cell>
        </row>
        <row r="61">
          <cell r="A61">
            <v>1675022001</v>
          </cell>
          <cell r="B61" t="str">
            <v>Polyamid 12</v>
          </cell>
          <cell r="C61" t="str">
            <v>PA12</v>
          </cell>
          <cell r="D61" t="str">
            <v>Grilamid TR 55 glasklar</v>
          </cell>
          <cell r="E61">
            <v>1.06</v>
          </cell>
          <cell r="G61" t="str">
            <v>Ems</v>
          </cell>
          <cell r="H61">
            <v>20.2</v>
          </cell>
          <cell r="I61">
            <v>20</v>
          </cell>
          <cell r="J61">
            <v>20.2</v>
          </cell>
          <cell r="K61">
            <v>20.2</v>
          </cell>
          <cell r="L61">
            <v>20.2</v>
          </cell>
          <cell r="M61">
            <v>20.2</v>
          </cell>
          <cell r="N61">
            <v>20.2</v>
          </cell>
          <cell r="O61">
            <v>20.2</v>
          </cell>
          <cell r="AF61">
            <v>20.2</v>
          </cell>
          <cell r="AG61">
            <v>20.2</v>
          </cell>
          <cell r="AH61">
            <v>20.2</v>
          </cell>
          <cell r="AI61">
            <v>20.2</v>
          </cell>
        </row>
        <row r="62">
          <cell r="A62">
            <v>1675122002</v>
          </cell>
          <cell r="B62" t="str">
            <v>Polyamid 12 GF50</v>
          </cell>
          <cell r="C62" t="str">
            <v>PA12 GF50</v>
          </cell>
          <cell r="D62" t="str">
            <v>Vestamid L 1930 - GF 30% schwarz</v>
          </cell>
          <cell r="E62">
            <v>1.26</v>
          </cell>
          <cell r="G62" t="str">
            <v>Ems</v>
          </cell>
          <cell r="H62" t="str">
            <v/>
          </cell>
          <cell r="AF62" t="str">
            <v/>
          </cell>
          <cell r="AG62" t="str">
            <v/>
          </cell>
          <cell r="AK62" t="str">
            <v>bei Bedarf anfragen</v>
          </cell>
        </row>
        <row r="63">
          <cell r="A63">
            <v>1676522001</v>
          </cell>
          <cell r="B63" t="str">
            <v>Polyphenylen-Sulfid</v>
          </cell>
          <cell r="C63" t="str">
            <v>PPS GF45</v>
          </cell>
          <cell r="D63" t="str">
            <v>Ryton R-4 - GF 40% schwarz</v>
          </cell>
          <cell r="E63">
            <v>1.67</v>
          </cell>
          <cell r="G63" t="str">
            <v>Albis</v>
          </cell>
          <cell r="H63">
            <v>18.149999999999999</v>
          </cell>
          <cell r="I63">
            <v>18.149999999999999</v>
          </cell>
          <cell r="J63">
            <v>18.149999999999999</v>
          </cell>
          <cell r="K63">
            <v>18.149999999999999</v>
          </cell>
          <cell r="L63">
            <v>18.149999999999999</v>
          </cell>
          <cell r="M63">
            <v>18.149999999999999</v>
          </cell>
          <cell r="N63">
            <v>18.149999999999999</v>
          </cell>
          <cell r="O63">
            <v>18.149999999999999</v>
          </cell>
          <cell r="AF63">
            <v>18.149999999999999</v>
          </cell>
          <cell r="AG63">
            <v>18.149999999999999</v>
          </cell>
          <cell r="AH63">
            <v>18.149999999999999</v>
          </cell>
          <cell r="AI63">
            <v>18.149999999999999</v>
          </cell>
        </row>
        <row r="64">
          <cell r="A64">
            <v>1676522002</v>
          </cell>
          <cell r="B64" t="str">
            <v>Polyphenylen-Sulfid</v>
          </cell>
          <cell r="C64" t="str">
            <v>PPS GF40</v>
          </cell>
          <cell r="D64" t="str">
            <v>Ryton R-4 - GF 40% natur</v>
          </cell>
          <cell r="E64">
            <v>1.67</v>
          </cell>
          <cell r="G64" t="str">
            <v>Phi</v>
          </cell>
          <cell r="H64">
            <v>17.600000000000001</v>
          </cell>
          <cell r="I64">
            <v>17.600000000000001</v>
          </cell>
          <cell r="J64">
            <v>17.600000000000001</v>
          </cell>
          <cell r="K64">
            <v>17.600000000000001</v>
          </cell>
          <cell r="L64">
            <v>17.600000000000001</v>
          </cell>
          <cell r="M64">
            <v>17.600000000000001</v>
          </cell>
          <cell r="N64">
            <v>17.600000000000001</v>
          </cell>
          <cell r="O64">
            <v>17.600000000000001</v>
          </cell>
          <cell r="AF64">
            <v>17.600000000000001</v>
          </cell>
          <cell r="AG64">
            <v>17.600000000000001</v>
          </cell>
          <cell r="AH64">
            <v>17.600000000000001</v>
          </cell>
          <cell r="AI64">
            <v>17.600000000000001</v>
          </cell>
        </row>
        <row r="65">
          <cell r="A65">
            <v>1679122003</v>
          </cell>
          <cell r="B65" t="str">
            <v>Celluloseacetobutyrat</v>
          </cell>
          <cell r="C65" t="str">
            <v>CAB</v>
          </cell>
          <cell r="D65" t="str">
            <v>Cellidor B 15/002-711-04</v>
          </cell>
          <cell r="E65">
            <v>1.22</v>
          </cell>
          <cell r="G65" t="str">
            <v>Albis</v>
          </cell>
          <cell r="H65">
            <v>13.8</v>
          </cell>
          <cell r="I65">
            <v>9.85</v>
          </cell>
          <cell r="J65">
            <v>13.8</v>
          </cell>
          <cell r="K65">
            <v>13.8</v>
          </cell>
          <cell r="L65">
            <v>13.8</v>
          </cell>
          <cell r="M65">
            <v>13.8</v>
          </cell>
          <cell r="N65">
            <v>13.8</v>
          </cell>
          <cell r="O65">
            <v>13.8</v>
          </cell>
          <cell r="AF65">
            <v>13.8</v>
          </cell>
          <cell r="AG65">
            <v>13.8</v>
          </cell>
          <cell r="AH65">
            <v>13.8</v>
          </cell>
          <cell r="AI65">
            <v>13.8</v>
          </cell>
          <cell r="AJ65">
            <v>525</v>
          </cell>
        </row>
        <row r="66">
          <cell r="A66">
            <v>1679722105</v>
          </cell>
          <cell r="B66" t="str">
            <v>Polyester-Elastomer</v>
          </cell>
          <cell r="C66" t="str">
            <v>Arnitel</v>
          </cell>
          <cell r="G66" t="str">
            <v>DSM</v>
          </cell>
          <cell r="H66">
            <v>10</v>
          </cell>
        </row>
        <row r="67">
          <cell r="A67">
            <v>1679722201</v>
          </cell>
          <cell r="B67" t="str">
            <v>Polypropylen+EPDM</v>
          </cell>
          <cell r="C67" t="str">
            <v>Santoprene</v>
          </cell>
          <cell r="D67" t="str">
            <v>Santoprene 111-45 schwarz 47+/-5 Shore A</v>
          </cell>
          <cell r="E67">
            <v>0.97</v>
          </cell>
          <cell r="G67" t="str">
            <v>AES</v>
          </cell>
          <cell r="H67">
            <v>10.45</v>
          </cell>
          <cell r="AF67" t="str">
            <v/>
          </cell>
          <cell r="AG67" t="str">
            <v/>
          </cell>
          <cell r="AH67">
            <v>10.45</v>
          </cell>
          <cell r="AI67">
            <v>10.45</v>
          </cell>
          <cell r="AJ67">
            <v>50</v>
          </cell>
        </row>
        <row r="68">
          <cell r="A68">
            <v>1679722204</v>
          </cell>
          <cell r="B68" t="str">
            <v>Polypropylen+EPDM</v>
          </cell>
          <cell r="C68" t="str">
            <v>Santoprene</v>
          </cell>
          <cell r="E68">
            <v>0.97</v>
          </cell>
          <cell r="G68" t="str">
            <v>AES</v>
          </cell>
          <cell r="H68">
            <v>8.5</v>
          </cell>
        </row>
        <row r="69">
          <cell r="A69">
            <v>1679722205</v>
          </cell>
          <cell r="B69" t="str">
            <v>Polypropylen+EPDM</v>
          </cell>
          <cell r="C69" t="str">
            <v>Sarlink</v>
          </cell>
          <cell r="D69" t="str">
            <v>Remafin</v>
          </cell>
          <cell r="E69">
            <v>0.97</v>
          </cell>
          <cell r="G69" t="str">
            <v>DSM</v>
          </cell>
          <cell r="H69">
            <v>8.1</v>
          </cell>
        </row>
        <row r="70">
          <cell r="A70">
            <v>1679722210</v>
          </cell>
          <cell r="B70" t="str">
            <v>Polypropylen+EPDM</v>
          </cell>
          <cell r="C70" t="str">
            <v>Sarlink</v>
          </cell>
          <cell r="D70" t="str">
            <v>Remafin</v>
          </cell>
          <cell r="E70">
            <v>0.97</v>
          </cell>
          <cell r="G70" t="str">
            <v>DSM</v>
          </cell>
          <cell r="H70">
            <v>7.35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Zwicknagl Markus" refreshedDate="41348.330732060182" createdVersion="1" refreshedVersion="3" recordCount="27" upgradeOnRefresh="1">
  <cacheSource type="worksheet">
    <worksheetSource ref="Y11:AA38" sheet="Material"/>
  </cacheSource>
  <cacheFields count="3">
    <cacheField name=" Rohstoffbezeichnung" numFmtId="0">
      <sharedItems containsNonDate="0" containsBlank="1" count="16">
        <m/>
        <s v="Kunststoff PP-GFxx - Recyclat" u="1"/>
        <s v="Kunststoff PP-TVxx - Recyclat" u="1"/>
        <s v="Carbon Black" u="1"/>
        <s v="Kunststoff PA - Recyclat" u="1"/>
        <s v="Kunststoff PP - Recyclat" u="1"/>
        <s v="ALUMINIUM HG 3M SELLER LME (MTZ)" u="1"/>
        <s v="Kunststoff Polyol" u="1"/>
        <s v="BLEI LME CASH SELLER (MTZ)" u="1"/>
        <s v="Legierungszuschlag" u="1"/>
        <s v="Zink (Reinrohstoff)" u="1"/>
        <s v="Aluminium (LME, Reinrohstoff)" u="1"/>
        <s v="Blei (LME, Reinrohstoff)" u="1"/>
        <s v="Kunststoff Polyacrylnitril" u="1"/>
        <s v="Kunststoff MDI" u="1"/>
        <s v="Kunststoff ABS-PC - Recyclat" u="1"/>
      </sharedItems>
    </cacheField>
    <cacheField name=" Bezugsgewicht [kg]" numFmtId="0">
      <sharedItems containsNonDate="0" containsString="0" containsBlank="1"/>
    </cacheField>
    <cacheField name=" Rohstoffnotierung_x000a_ Ro [AW/kg]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7"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5" cacheId="2" dataOnRows="1" applyNumberFormats="0" applyBorderFormats="0" applyFontFormats="0" applyPatternFormats="0" applyAlignmentFormats="0" applyWidthHeightFormats="1" dataCaption="Daten" showMissing="0" updatedVersion="3" showMemberPropertyTips="0" rowGrandTotals="0" colGrandTotals="0" itemPrintTitles="1" createdVersion="1" indent="0" compact="0" compactData="0" gridDropZones="1">
  <location ref="C13:D15" firstHeaderRow="2" firstDataRow="2" firstDataCol="1"/>
  <pivotFields count="3">
    <pivotField axis="axisRow" compact="0" outline="0" subtotalTop="0" showAll="0" includeNewItemsInFilter="1" defaultSubtotal="0">
      <items count="16">
        <item h="1" x="0"/>
        <item m="1" x="12"/>
        <item m="1" x="3"/>
        <item m="1" x="8"/>
        <item m="1" x="11"/>
        <item m="1" x="10"/>
        <item m="1" x="4"/>
        <item m="1" x="7"/>
        <item m="1" x="5"/>
        <item m="1" x="1"/>
        <item m="1" x="13"/>
        <item m="1" x="14"/>
        <item m="1" x="15"/>
        <item m="1" x="2"/>
        <item m="1" x="9"/>
        <item m="1" x="6"/>
      </items>
    </pivotField>
    <pivotField dataField="1" compact="0" outline="0" subtotalTop="0" showAll="0" includeNewItemsInFilter="1" defaultSubtotal="0"/>
    <pivotField compact="0" outline="0" subtotalTop="0" showAll="0" includeNewItemsInFilter="1" defaultSubtotal="0"/>
  </pivotFields>
  <rowFields count="1">
    <field x="0"/>
  </rowFields>
  <colItems count="1">
    <i/>
  </colItems>
  <dataFields count="1">
    <dataField name="Summe von  Bezugsgewicht [kg]" fld="1" baseField="0" baseItem="0"/>
  </dataFields>
  <formats count="13">
    <format dxfId="12">
      <pivotArea outline="0" fieldPosition="0"/>
    </format>
    <format dxfId="11">
      <pivotArea outline="0" fieldPosition="0"/>
    </format>
    <format dxfId="10">
      <pivotArea outline="0" fieldPosition="0"/>
    </format>
    <format dxfId="9">
      <pivotArea outline="0" fieldPosition="0"/>
    </format>
    <format dxfId="8">
      <pivotArea outline="0" fieldPosition="0"/>
    </format>
    <format dxfId="7">
      <pivotArea outline="0" fieldPosition="0"/>
    </format>
    <format dxfId="6">
      <pivotArea outline="0" fieldPosition="0"/>
    </format>
    <format dxfId="5">
      <pivotArea type="all" dataOnly="0" outline="0" fieldPosition="0"/>
    </format>
    <format dxfId="4">
      <pivotArea outline="0" fieldPosition="0"/>
    </format>
    <format dxfId="3">
      <pivotArea outline="0" fieldPosition="0"/>
    </format>
    <format dxfId="2">
      <pivotArea type="all" dataOnly="0" outline="0" fieldPosition="0"/>
    </format>
    <format dxfId="1">
      <pivotArea outline="0" fieldPosition="0"/>
    </format>
    <format dxfId="0">
      <pivotArea type="topRight" dataOnly="0" labelOnly="1" outline="0" fieldPosition="0"/>
    </format>
  </formats>
  <pivotTableStyleInfo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2b.bmwgroup.net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2b.bmwgroup.net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2b.bmwgroup.net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b2b.bmwgroup.net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b2b.bmwgroup.net/" TargetMode="External"/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01Zus">
    <tabColor theme="6" tint="-0.249977111117893"/>
    <pageSetUpPr fitToPage="1"/>
  </sheetPr>
  <dimension ref="A1:U42"/>
  <sheetViews>
    <sheetView showGridLines="0" showZeros="0" topLeftCell="D1" zoomScaleNormal="100" workbookViewId="0">
      <selection activeCell="C5" sqref="C5:E5"/>
    </sheetView>
  </sheetViews>
  <sheetFormatPr baseColWidth="10" defaultColWidth="11.46484375" defaultRowHeight="13.5" x14ac:dyDescent="0.35"/>
  <cols>
    <col min="1" max="1" width="1.46484375" style="540" customWidth="1"/>
    <col min="2" max="2" width="32.796875" style="69" customWidth="1"/>
    <col min="3" max="3" width="9.796875" style="69" customWidth="1"/>
    <col min="4" max="4" width="11.796875" style="69" customWidth="1"/>
    <col min="5" max="5" width="2.796875" style="69" customWidth="1"/>
    <col min="6" max="6" width="3.796875" style="69" customWidth="1"/>
    <col min="7" max="7" width="14.796875" style="69" customWidth="1"/>
    <col min="8" max="8" width="9.796875" style="69" customWidth="1"/>
    <col min="9" max="9" width="13.796875" style="69" customWidth="1"/>
    <col min="10" max="10" width="10.796875" style="69" customWidth="1"/>
    <col min="11" max="11" width="8.796875" style="69" customWidth="1"/>
    <col min="12" max="12" width="26.86328125" style="69" customWidth="1"/>
    <col min="13" max="13" width="7.796875" style="69" customWidth="1"/>
    <col min="14" max="14" width="14.86328125" style="69" customWidth="1"/>
    <col min="15" max="15" width="14.796875" style="69" customWidth="1"/>
    <col min="16" max="16" width="15.53125" style="69" customWidth="1"/>
    <col min="17" max="17" width="1.46484375" style="69" customWidth="1"/>
    <col min="18" max="18" width="15.46484375" style="69" customWidth="1"/>
    <col min="19" max="19" width="1.796875" style="69" customWidth="1"/>
    <col min="20" max="20" width="13.796875" style="69" customWidth="1"/>
    <col min="21" max="16384" width="11.46484375" style="69"/>
  </cols>
  <sheetData>
    <row r="1" spans="1:20" s="305" customFormat="1" ht="7.5" customHeight="1" thickBot="1" x14ac:dyDescent="0.4">
      <c r="A1" s="532"/>
      <c r="B1" s="532"/>
      <c r="C1" s="532"/>
      <c r="D1" s="532"/>
      <c r="E1" s="533"/>
      <c r="F1" s="533"/>
      <c r="G1" s="533"/>
      <c r="H1" s="533"/>
      <c r="I1" s="533"/>
      <c r="J1" s="533"/>
      <c r="K1" s="533"/>
      <c r="L1" s="533"/>
      <c r="M1" s="533"/>
      <c r="N1" s="533"/>
      <c r="O1" s="534"/>
      <c r="P1" s="533"/>
      <c r="Q1" s="532"/>
    </row>
    <row r="2" spans="1:20" ht="26.25" customHeight="1" x14ac:dyDescent="0.6">
      <c r="A2" s="535">
        <v>26.25</v>
      </c>
      <c r="B2" s="61" t="s">
        <v>1</v>
      </c>
      <c r="C2" s="62"/>
      <c r="D2" s="62"/>
      <c r="E2" s="77"/>
      <c r="F2" s="64" t="s">
        <v>2</v>
      </c>
      <c r="G2" s="62"/>
      <c r="H2" s="62"/>
      <c r="I2" s="62"/>
      <c r="J2" s="62"/>
      <c r="K2" s="62"/>
      <c r="L2" s="63" t="s">
        <v>645</v>
      </c>
      <c r="M2" s="63"/>
      <c r="N2" s="62"/>
      <c r="O2" s="686" t="s">
        <v>944</v>
      </c>
      <c r="P2" s="77"/>
      <c r="Q2" s="101"/>
    </row>
    <row r="3" spans="1:20" ht="18" customHeight="1" x14ac:dyDescent="0.45">
      <c r="A3" s="536">
        <v>18</v>
      </c>
      <c r="B3" s="78" t="s">
        <v>496</v>
      </c>
      <c r="C3" s="80"/>
      <c r="D3" s="80"/>
      <c r="E3" s="184"/>
      <c r="F3" s="185" t="s">
        <v>4</v>
      </c>
      <c r="H3" s="82"/>
      <c r="I3" s="82"/>
      <c r="J3" s="82"/>
      <c r="K3" s="82"/>
      <c r="L3" s="717" t="s">
        <v>961</v>
      </c>
      <c r="M3" s="76"/>
      <c r="N3" s="82"/>
      <c r="O3" s="82"/>
      <c r="P3" s="83"/>
      <c r="Q3" s="101"/>
    </row>
    <row r="4" spans="1:20" ht="15.75" customHeight="1" thickBot="1" x14ac:dyDescent="0.4">
      <c r="A4" s="536">
        <v>15.75</v>
      </c>
      <c r="B4" s="716" t="s">
        <v>960</v>
      </c>
      <c r="C4" s="353"/>
      <c r="D4" s="84"/>
      <c r="E4" s="186"/>
      <c r="F4" s="187"/>
      <c r="G4" s="85"/>
      <c r="H4" s="85"/>
      <c r="I4" s="85"/>
      <c r="J4" s="85"/>
      <c r="K4" s="85"/>
      <c r="M4" s="85"/>
      <c r="N4" s="85"/>
      <c r="O4" s="85"/>
      <c r="P4" s="86"/>
      <c r="Q4" s="101"/>
    </row>
    <row r="5" spans="1:20" ht="17.100000000000001" customHeight="1" x14ac:dyDescent="0.35">
      <c r="A5" s="537">
        <v>17</v>
      </c>
      <c r="B5" s="188" t="s">
        <v>5</v>
      </c>
      <c r="C5" s="915" t="s">
        <v>1028</v>
      </c>
      <c r="D5" s="915"/>
      <c r="E5" s="916"/>
      <c r="F5" s="355" t="s">
        <v>280</v>
      </c>
      <c r="G5" s="355"/>
      <c r="H5" s="355"/>
      <c r="I5" s="923" t="s">
        <v>1025</v>
      </c>
      <c r="J5" s="923"/>
      <c r="K5" s="923"/>
      <c r="L5" s="163" t="s">
        <v>6</v>
      </c>
      <c r="M5" s="923" t="s">
        <v>1026</v>
      </c>
      <c r="N5" s="923"/>
      <c r="O5" s="923"/>
      <c r="P5" s="924"/>
      <c r="Q5" s="101"/>
    </row>
    <row r="6" spans="1:20" ht="17.100000000000001" customHeight="1" x14ac:dyDescent="0.35">
      <c r="A6" s="537">
        <v>17</v>
      </c>
      <c r="B6" s="165" t="s">
        <v>7</v>
      </c>
      <c r="C6" s="917"/>
      <c r="D6" s="918"/>
      <c r="E6" s="919"/>
      <c r="F6" s="357" t="s">
        <v>8</v>
      </c>
      <c r="G6" s="357"/>
      <c r="H6" s="357"/>
      <c r="I6" s="929"/>
      <c r="J6" s="929"/>
      <c r="K6" s="929"/>
      <c r="L6" s="166" t="s">
        <v>9</v>
      </c>
      <c r="M6" s="925"/>
      <c r="N6" s="925"/>
      <c r="O6" s="925"/>
      <c r="P6" s="926"/>
      <c r="Q6" s="101"/>
    </row>
    <row r="7" spans="1:20" ht="17.100000000000001" customHeight="1" x14ac:dyDescent="0.35">
      <c r="A7" s="537">
        <v>17</v>
      </c>
      <c r="B7" s="165" t="s">
        <v>10</v>
      </c>
      <c r="C7" s="918"/>
      <c r="D7" s="918"/>
      <c r="E7" s="919"/>
      <c r="F7" s="357" t="s">
        <v>11</v>
      </c>
      <c r="G7" s="357"/>
      <c r="H7" s="357"/>
      <c r="I7" s="929" t="s">
        <v>1027</v>
      </c>
      <c r="J7" s="929"/>
      <c r="K7" s="929"/>
      <c r="L7" s="166" t="s">
        <v>12</v>
      </c>
      <c r="M7" s="925"/>
      <c r="N7" s="925"/>
      <c r="O7" s="925"/>
      <c r="P7" s="926"/>
      <c r="Q7" s="101"/>
    </row>
    <row r="8" spans="1:20" ht="17.100000000000001" customHeight="1" thickBot="1" x14ac:dyDescent="0.4">
      <c r="A8" s="537">
        <v>17</v>
      </c>
      <c r="B8" s="168" t="s">
        <v>13</v>
      </c>
      <c r="C8" s="920">
        <v>43782</v>
      </c>
      <c r="D8" s="920"/>
      <c r="E8" s="921"/>
      <c r="F8" s="189" t="s">
        <v>14</v>
      </c>
      <c r="G8" s="189"/>
      <c r="H8" s="189"/>
      <c r="I8" s="930"/>
      <c r="J8" s="931"/>
      <c r="K8" s="931"/>
      <c r="L8" s="169" t="s">
        <v>15</v>
      </c>
      <c r="M8" s="927" t="s">
        <v>1051</v>
      </c>
      <c r="N8" s="927"/>
      <c r="O8" s="927"/>
      <c r="P8" s="928"/>
      <c r="Q8" s="101"/>
      <c r="S8" s="69" t="s">
        <v>646</v>
      </c>
    </row>
    <row r="9" spans="1:20" ht="12" customHeight="1" thickBot="1" x14ac:dyDescent="0.4">
      <c r="A9" s="536">
        <v>20</v>
      </c>
      <c r="B9" s="190"/>
      <c r="C9" s="922"/>
      <c r="D9" s="922"/>
      <c r="E9" s="191"/>
      <c r="F9" s="190"/>
      <c r="G9" s="190"/>
      <c r="H9" s="190"/>
      <c r="I9" s="192"/>
      <c r="J9" s="192"/>
      <c r="K9" s="192"/>
      <c r="L9" s="192"/>
      <c r="M9" s="192"/>
      <c r="N9" s="192"/>
      <c r="O9" s="192"/>
      <c r="P9" s="192"/>
      <c r="Q9" s="101"/>
    </row>
    <row r="10" spans="1:20" ht="18.95" customHeight="1" thickBot="1" x14ac:dyDescent="0.4">
      <c r="A10" s="536">
        <v>19</v>
      </c>
      <c r="B10" s="112" t="s">
        <v>0</v>
      </c>
      <c r="C10" s="109"/>
      <c r="D10" s="113"/>
      <c r="E10" s="193"/>
      <c r="F10" s="194"/>
      <c r="G10" s="195"/>
      <c r="H10" s="195"/>
      <c r="I10" s="195"/>
      <c r="J10" s="195"/>
      <c r="K10" s="195"/>
      <c r="L10" s="195"/>
      <c r="M10" s="196" t="s">
        <v>490</v>
      </c>
      <c r="N10" s="197" t="str">
        <f>IF(C28="","", C28)</f>
        <v/>
      </c>
      <c r="O10" s="197" t="str">
        <f>IF(C27="","", C27)</f>
        <v/>
      </c>
      <c r="P10" s="198" t="str">
        <f>C26</f>
        <v>USD</v>
      </c>
      <c r="Q10" s="101"/>
      <c r="R10" s="878" t="s">
        <v>1050</v>
      </c>
    </row>
    <row r="11" spans="1:20" ht="18.95" customHeight="1" x14ac:dyDescent="0.35">
      <c r="A11" s="536">
        <v>19</v>
      </c>
      <c r="B11" s="591"/>
      <c r="C11" s="146"/>
      <c r="D11" s="592"/>
      <c r="E11" s="193"/>
      <c r="F11" s="199" t="s">
        <v>16</v>
      </c>
      <c r="G11" s="200" t="s">
        <v>334</v>
      </c>
      <c r="H11" s="201"/>
      <c r="I11" s="201"/>
      <c r="J11" s="202"/>
      <c r="K11" s="203"/>
      <c r="L11" s="204"/>
      <c r="M11" s="201"/>
      <c r="N11" s="370">
        <f ca="1">Material!U43</f>
        <v>0</v>
      </c>
      <c r="O11" s="370">
        <f ca="1">Material!U42</f>
        <v>0</v>
      </c>
      <c r="P11" s="358">
        <f ca="1">Material!U41</f>
        <v>93.568271999999993</v>
      </c>
      <c r="Q11" s="101"/>
      <c r="R11" s="358">
        <v>93.568271999999993</v>
      </c>
    </row>
    <row r="12" spans="1:20" ht="18.95" customHeight="1" thickBot="1" x14ac:dyDescent="0.4">
      <c r="A12" s="536">
        <v>19</v>
      </c>
      <c r="B12" s="591"/>
      <c r="C12" s="146"/>
      <c r="D12" s="592"/>
      <c r="E12" s="193"/>
      <c r="F12" s="205" t="s">
        <v>17</v>
      </c>
      <c r="G12" s="206" t="s">
        <v>18</v>
      </c>
      <c r="H12" s="207"/>
      <c r="I12" s="207"/>
      <c r="J12" s="207"/>
      <c r="K12" s="207"/>
      <c r="L12" s="207"/>
      <c r="M12" s="207"/>
      <c r="N12" s="371">
        <f>Fertigungskosten!U39</f>
        <v>12.75</v>
      </c>
      <c r="O12" s="371">
        <f ca="1">Fertigungskosten!U38</f>
        <v>0</v>
      </c>
      <c r="P12" s="359">
        <f ca="1">Fertigungskosten!U37</f>
        <v>12.750264932838691</v>
      </c>
      <c r="Q12" s="101"/>
      <c r="R12" s="359">
        <v>12.751843736259879</v>
      </c>
      <c r="S12" s="538"/>
      <c r="T12" s="538"/>
    </row>
    <row r="13" spans="1:20" ht="18.95" customHeight="1" x14ac:dyDescent="0.35">
      <c r="A13" s="536">
        <v>19</v>
      </c>
      <c r="B13" s="208" t="s">
        <v>42</v>
      </c>
      <c r="C13" s="587"/>
      <c r="D13" s="588"/>
      <c r="E13" s="193"/>
      <c r="F13" s="209"/>
      <c r="G13" s="210" t="s">
        <v>403</v>
      </c>
      <c r="H13" s="180"/>
      <c r="I13" s="211"/>
      <c r="J13" s="212"/>
      <c r="K13" s="213"/>
      <c r="L13" s="214" t="s">
        <v>388</v>
      </c>
      <c r="M13" s="211"/>
      <c r="N13" s="372">
        <f ca="1">N12+N11</f>
        <v>12.75</v>
      </c>
      <c r="O13" s="372">
        <f ca="1">O12+O11</f>
        <v>0</v>
      </c>
      <c r="P13" s="360">
        <f ca="1">P12+P11</f>
        <v>106.31853693283868</v>
      </c>
      <c r="Q13" s="101"/>
      <c r="R13" s="360">
        <v>106.32011573625988</v>
      </c>
    </row>
    <row r="14" spans="1:20" ht="18.95" customHeight="1" x14ac:dyDescent="0.35">
      <c r="A14" s="536">
        <v>19</v>
      </c>
      <c r="B14" s="208" t="s">
        <v>43</v>
      </c>
      <c r="C14" s="589"/>
      <c r="D14" s="590"/>
      <c r="E14" s="193"/>
      <c r="F14" s="215"/>
      <c r="G14" s="216" t="s">
        <v>328</v>
      </c>
      <c r="H14" s="216"/>
      <c r="I14" s="217"/>
      <c r="J14" s="218"/>
      <c r="K14" s="219"/>
      <c r="L14" s="220"/>
      <c r="M14" s="217"/>
      <c r="N14" s="373">
        <f ca="1">Material!M43+Material!L43</f>
        <v>0</v>
      </c>
      <c r="O14" s="373">
        <f ca="1">Material!M42+Material!L42</f>
        <v>0</v>
      </c>
      <c r="P14" s="361">
        <f ca="1">Material!M41+Material!L41</f>
        <v>1.26</v>
      </c>
      <c r="Q14" s="101"/>
      <c r="R14" s="361">
        <v>1.26</v>
      </c>
    </row>
    <row r="15" spans="1:20" ht="18.95" customHeight="1" thickBot="1" x14ac:dyDescent="0.4">
      <c r="A15" s="536">
        <v>19</v>
      </c>
      <c r="B15" s="221" t="s">
        <v>44</v>
      </c>
      <c r="C15" s="589"/>
      <c r="D15" s="590"/>
      <c r="E15" s="193"/>
      <c r="F15" s="222"/>
      <c r="G15" s="223" t="s">
        <v>329</v>
      </c>
      <c r="H15" s="223"/>
      <c r="I15" s="224"/>
      <c r="J15" s="224"/>
      <c r="K15" s="225"/>
      <c r="L15" s="225"/>
      <c r="M15" s="224"/>
      <c r="N15" s="374">
        <f ca="1">Material!N43</f>
        <v>0</v>
      </c>
      <c r="O15" s="374">
        <f ca="1">Material!N42</f>
        <v>0</v>
      </c>
      <c r="P15" s="362">
        <f ca="1">Material!N41</f>
        <v>0</v>
      </c>
      <c r="Q15" s="101"/>
      <c r="R15" s="362">
        <v>0</v>
      </c>
    </row>
    <row r="16" spans="1:20" ht="18.95" customHeight="1" thickBot="1" x14ac:dyDescent="0.4">
      <c r="A16" s="536">
        <v>19</v>
      </c>
      <c r="B16" s="208" t="s">
        <v>284</v>
      </c>
      <c r="C16" s="589"/>
      <c r="D16" s="590"/>
      <c r="E16" s="193"/>
      <c r="F16" s="227"/>
      <c r="G16" s="227"/>
      <c r="H16" s="228"/>
      <c r="I16" s="229"/>
      <c r="J16" s="229"/>
      <c r="K16" s="230"/>
      <c r="L16" s="230"/>
      <c r="M16" s="229"/>
      <c r="N16" s="231"/>
      <c r="O16" s="231"/>
      <c r="P16" s="231"/>
      <c r="Q16" s="101"/>
      <c r="R16" s="231"/>
    </row>
    <row r="17" spans="1:21" ht="18.95" customHeight="1" x14ac:dyDescent="0.35">
      <c r="A17" s="536">
        <v>19</v>
      </c>
      <c r="B17" s="208" t="s">
        <v>283</v>
      </c>
      <c r="C17" s="907"/>
      <c r="D17" s="908"/>
      <c r="E17" s="193"/>
      <c r="F17" s="199" t="s">
        <v>19</v>
      </c>
      <c r="G17" s="200" t="s">
        <v>959</v>
      </c>
      <c r="H17" s="200"/>
      <c r="I17" s="201"/>
      <c r="J17" s="232"/>
      <c r="K17" s="202"/>
      <c r="L17" s="639"/>
      <c r="M17" s="232"/>
      <c r="N17" s="370">
        <f ca="1">'SBM-Vorrichtungen-FWZ'!U35</f>
        <v>0</v>
      </c>
      <c r="O17" s="370">
        <f ca="1">'SBM-Vorrichtungen-FWZ'!U34</f>
        <v>0</v>
      </c>
      <c r="P17" s="358">
        <f ca="1">'SBM-Vorrichtungen-FWZ'!U33</f>
        <v>0</v>
      </c>
      <c r="Q17" s="101"/>
      <c r="R17" s="358">
        <v>0</v>
      </c>
    </row>
    <row r="18" spans="1:21" ht="18.95" customHeight="1" thickBot="1" x14ac:dyDescent="0.4">
      <c r="A18" s="536">
        <v>19</v>
      </c>
      <c r="B18" s="593" t="s">
        <v>323</v>
      </c>
      <c r="C18" s="909"/>
      <c r="D18" s="910"/>
      <c r="E18" s="193"/>
      <c r="F18" s="237" t="s">
        <v>20</v>
      </c>
      <c r="G18" s="238" t="s">
        <v>371</v>
      </c>
      <c r="H18" s="234"/>
      <c r="I18" s="234" t="s">
        <v>369</v>
      </c>
      <c r="J18" s="235"/>
      <c r="K18" s="203"/>
      <c r="L18" s="637"/>
      <c r="M18" s="235"/>
      <c r="N18" s="375">
        <f ca="1">Material!W43</f>
        <v>0</v>
      </c>
      <c r="O18" s="375">
        <f ca="1">Material!W42</f>
        <v>0</v>
      </c>
      <c r="P18" s="363">
        <f ca="1">Material!W41 + L18</f>
        <v>1.1364567449392715</v>
      </c>
      <c r="Q18" s="101"/>
      <c r="R18" s="363">
        <v>1.1364567449392715</v>
      </c>
    </row>
    <row r="19" spans="1:21" ht="18.95" customHeight="1" thickBot="1" x14ac:dyDescent="0.4">
      <c r="A19" s="536">
        <v>19</v>
      </c>
      <c r="B19" s="112" t="s">
        <v>22</v>
      </c>
      <c r="C19" s="109"/>
      <c r="D19" s="113"/>
      <c r="E19" s="193"/>
      <c r="F19" s="269"/>
      <c r="G19" s="270"/>
      <c r="H19" s="223"/>
      <c r="I19" s="223" t="s">
        <v>370</v>
      </c>
      <c r="J19" s="224"/>
      <c r="K19" s="225"/>
      <c r="L19" s="638"/>
      <c r="M19" s="224"/>
      <c r="N19" s="374">
        <f>Fertigungskosten!W39</f>
        <v>0.15</v>
      </c>
      <c r="O19" s="374">
        <f ca="1">Fertigungskosten!W38</f>
        <v>0</v>
      </c>
      <c r="P19" s="362">
        <f ca="1">Fertigungskosten!W37 + L19</f>
        <v>0.15380590160150007</v>
      </c>
      <c r="Q19" s="101"/>
      <c r="R19" s="362">
        <v>0.15348668514920602</v>
      </c>
    </row>
    <row r="20" spans="1:21" ht="18.95" customHeight="1" thickBot="1" x14ac:dyDescent="0.4">
      <c r="A20" s="536">
        <v>19</v>
      </c>
      <c r="B20" s="912"/>
      <c r="C20" s="913"/>
      <c r="D20" s="914"/>
      <c r="E20" s="193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01"/>
      <c r="R20" s="146"/>
    </row>
    <row r="21" spans="1:21" ht="18.95" customHeight="1" thickBot="1" x14ac:dyDescent="0.4">
      <c r="A21" s="536">
        <v>19</v>
      </c>
      <c r="B21" s="208" t="s">
        <v>372</v>
      </c>
      <c r="C21" s="896"/>
      <c r="D21" s="911"/>
      <c r="E21" s="193"/>
      <c r="F21" s="242"/>
      <c r="G21" s="227" t="s">
        <v>57</v>
      </c>
      <c r="H21" s="228"/>
      <c r="I21" s="243"/>
      <c r="J21" s="230"/>
      <c r="K21" s="230"/>
      <c r="L21" s="230" t="s">
        <v>930</v>
      </c>
      <c r="M21" s="244"/>
      <c r="N21" s="376">
        <f ca="1">SUM(N17:N19)+N13</f>
        <v>12.9</v>
      </c>
      <c r="O21" s="376">
        <f ca="1">SUM(O17:O19)+O13</f>
        <v>0</v>
      </c>
      <c r="P21" s="364">
        <f ca="1">SUM(P17:P19)+P13</f>
        <v>107.60879957937945</v>
      </c>
      <c r="Q21" s="101"/>
      <c r="R21" s="364">
        <v>107.61005916634835</v>
      </c>
    </row>
    <row r="22" spans="1:21" ht="18.95" customHeight="1" thickBot="1" x14ac:dyDescent="0.4">
      <c r="A22" s="536">
        <v>19</v>
      </c>
      <c r="B22" s="208" t="s">
        <v>281</v>
      </c>
      <c r="C22" s="896"/>
      <c r="D22" s="911"/>
      <c r="E22" s="193"/>
      <c r="F22" s="101"/>
      <c r="G22" s="101"/>
      <c r="H22" s="101"/>
      <c r="I22" s="101"/>
      <c r="J22" s="101"/>
      <c r="K22" s="101"/>
      <c r="L22" s="101"/>
      <c r="M22" s="101"/>
      <c r="N22" s="684"/>
      <c r="O22" s="684"/>
      <c r="P22" s="684"/>
      <c r="Q22" s="101"/>
      <c r="R22" s="684"/>
      <c r="S22" s="538"/>
    </row>
    <row r="23" spans="1:21" ht="18.95" customHeight="1" x14ac:dyDescent="0.35">
      <c r="A23" s="536">
        <v>19</v>
      </c>
      <c r="B23" s="208" t="s">
        <v>322</v>
      </c>
      <c r="C23" s="896"/>
      <c r="D23" s="911"/>
      <c r="E23" s="193"/>
      <c r="F23" s="199" t="s">
        <v>21</v>
      </c>
      <c r="G23" s="200" t="s">
        <v>931</v>
      </c>
      <c r="H23" s="200"/>
      <c r="I23" s="201"/>
      <c r="J23" s="232"/>
      <c r="K23" s="202" t="s">
        <v>31</v>
      </c>
      <c r="L23" s="879" t="s">
        <v>1046</v>
      </c>
      <c r="M23" s="880"/>
      <c r="N23" s="685">
        <f ca="1">0.1146431*N13</f>
        <v>1.461699525</v>
      </c>
      <c r="O23" s="685"/>
      <c r="P23" s="683">
        <f ca="1">R23/R13*P13</f>
        <v>12.188686661445118</v>
      </c>
      <c r="Q23" s="101"/>
      <c r="R23" s="683">
        <v>12.188867660363615</v>
      </c>
      <c r="U23" s="877"/>
    </row>
    <row r="24" spans="1:21" ht="18.95" customHeight="1" thickBot="1" x14ac:dyDescent="0.4">
      <c r="A24" s="536">
        <v>19</v>
      </c>
      <c r="B24" s="240"/>
      <c r="C24" s="241"/>
      <c r="D24" s="901" t="s">
        <v>494</v>
      </c>
      <c r="E24" s="193"/>
      <c r="F24" s="249"/>
      <c r="G24" s="250" t="s">
        <v>387</v>
      </c>
      <c r="H24" s="251"/>
      <c r="I24" s="252"/>
      <c r="J24" s="252"/>
      <c r="K24" s="252"/>
      <c r="L24" s="252" t="s">
        <v>383</v>
      </c>
      <c r="M24" s="252"/>
      <c r="N24" s="377">
        <f ca="1">N21+N23</f>
        <v>14.361699525000001</v>
      </c>
      <c r="O24" s="377">
        <f ca="1">O21+O23</f>
        <v>0</v>
      </c>
      <c r="P24" s="365">
        <f ca="1">P21+P23</f>
        <v>119.79748624082457</v>
      </c>
      <c r="Q24" s="101"/>
      <c r="R24" s="365">
        <v>119.79892682671196</v>
      </c>
    </row>
    <row r="25" spans="1:21" ht="18.95" customHeight="1" thickBot="1" x14ac:dyDescent="0.4">
      <c r="A25" s="536"/>
      <c r="B25" s="245"/>
      <c r="C25" s="246"/>
      <c r="D25" s="902"/>
      <c r="E25" s="193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</row>
    <row r="26" spans="1:21" ht="18.95" customHeight="1" x14ac:dyDescent="0.35">
      <c r="A26" s="536">
        <v>19</v>
      </c>
      <c r="B26" s="247" t="s">
        <v>489</v>
      </c>
      <c r="C26" s="248" t="s">
        <v>65</v>
      </c>
      <c r="D26" s="903"/>
      <c r="E26" s="193"/>
      <c r="F26" s="199" t="s">
        <v>23</v>
      </c>
      <c r="G26" s="201" t="s">
        <v>771</v>
      </c>
      <c r="H26" s="201"/>
      <c r="I26" s="202"/>
      <c r="J26" s="202"/>
      <c r="K26" s="202" t="s">
        <v>31</v>
      </c>
      <c r="L26" s="879"/>
      <c r="M26" s="880"/>
      <c r="N26" s="370">
        <f ca="1">Material!AB43</f>
        <v>0</v>
      </c>
      <c r="O26" s="370">
        <f ca="1">Material!AB42</f>
        <v>0</v>
      </c>
      <c r="P26" s="358">
        <f ca="1">Material!AB41</f>
        <v>0</v>
      </c>
      <c r="Q26" s="101"/>
      <c r="R26" s="358">
        <v>0</v>
      </c>
    </row>
    <row r="27" spans="1:21" ht="18.95" customHeight="1" x14ac:dyDescent="0.35">
      <c r="A27" s="536">
        <v>19</v>
      </c>
      <c r="B27" s="247" t="s">
        <v>657</v>
      </c>
      <c r="C27" s="248"/>
      <c r="D27" s="368"/>
      <c r="E27" s="193"/>
      <c r="F27" s="254" t="s">
        <v>24</v>
      </c>
      <c r="G27" s="234" t="s">
        <v>330</v>
      </c>
      <c r="H27" s="234"/>
      <c r="I27" s="203"/>
      <c r="J27" s="203"/>
      <c r="K27" s="203" t="s">
        <v>31</v>
      </c>
      <c r="L27" s="896"/>
      <c r="M27" s="904"/>
      <c r="N27" s="379"/>
      <c r="O27" s="379"/>
      <c r="P27" s="236"/>
      <c r="Q27" s="101"/>
      <c r="R27" s="236"/>
    </row>
    <row r="28" spans="1:21" ht="18.95" customHeight="1" thickBot="1" x14ac:dyDescent="0.4">
      <c r="A28" s="536">
        <v>19</v>
      </c>
      <c r="B28" s="253" t="s">
        <v>658</v>
      </c>
      <c r="C28" s="248"/>
      <c r="D28" s="369"/>
      <c r="E28" s="193"/>
      <c r="F28" s="255" t="s">
        <v>54</v>
      </c>
      <c r="G28" s="256" t="s">
        <v>331</v>
      </c>
      <c r="H28" s="256"/>
      <c r="I28" s="257"/>
      <c r="J28" s="257"/>
      <c r="K28" s="258" t="s">
        <v>31</v>
      </c>
      <c r="L28" s="905"/>
      <c r="M28" s="906"/>
      <c r="N28" s="380"/>
      <c r="O28" s="380"/>
      <c r="P28" s="259"/>
      <c r="Q28" s="101"/>
      <c r="R28" s="259"/>
      <c r="T28" s="69" t="s">
        <v>1049</v>
      </c>
    </row>
    <row r="29" spans="1:21" ht="18.95" customHeight="1" thickBot="1" x14ac:dyDescent="0.4">
      <c r="A29" s="536">
        <v>19</v>
      </c>
      <c r="B29" s="112" t="s">
        <v>25</v>
      </c>
      <c r="C29" s="109"/>
      <c r="D29" s="113"/>
      <c r="E29" s="193"/>
      <c r="F29" s="249"/>
      <c r="G29" s="250" t="s">
        <v>386</v>
      </c>
      <c r="H29" s="251"/>
      <c r="I29" s="252"/>
      <c r="J29" s="252"/>
      <c r="K29" s="252"/>
      <c r="L29" s="252" t="s">
        <v>932</v>
      </c>
      <c r="M29" s="252"/>
      <c r="N29" s="378">
        <f ca="1">SUM(N26:N28)+N24</f>
        <v>14.361699525000001</v>
      </c>
      <c r="O29" s="378">
        <f ca="1">SUM(O26:O28)+O24</f>
        <v>0</v>
      </c>
      <c r="P29" s="366">
        <f ca="1">SUM(P26:P28)+P24</f>
        <v>119.79748624082457</v>
      </c>
      <c r="Q29" s="101"/>
      <c r="R29" s="366">
        <v>119.79892682671196</v>
      </c>
      <c r="T29" s="364">
        <f ca="1">P24-R24</f>
        <v>-1.4405858873942634E-3</v>
      </c>
    </row>
    <row r="30" spans="1:21" ht="18.95" customHeight="1" thickBot="1" x14ac:dyDescent="0.4">
      <c r="A30" s="536">
        <v>19</v>
      </c>
      <c r="B30" s="890"/>
      <c r="C30" s="891"/>
      <c r="D30" s="892"/>
      <c r="E30" s="193"/>
      <c r="F30" s="260"/>
      <c r="G30" s="261" t="s">
        <v>495</v>
      </c>
      <c r="H30" s="261"/>
      <c r="I30" s="262"/>
      <c r="J30" s="262"/>
      <c r="K30" s="262"/>
      <c r="L30" s="262"/>
      <c r="M30" s="262"/>
      <c r="N30" s="263"/>
      <c r="O30" s="263"/>
      <c r="P30" s="367" t="str">
        <f>IF(AND(OR(C27=0,D27=0),OR(C28=0,D28=0)),"",P29+(O29*D27)+(N29*D28))</f>
        <v/>
      </c>
      <c r="Q30" s="101"/>
      <c r="R30" s="367" t="s">
        <v>1048</v>
      </c>
      <c r="T30" s="539"/>
    </row>
    <row r="31" spans="1:21" ht="18.95" customHeight="1" thickBot="1" x14ac:dyDescent="0.4">
      <c r="A31" s="536">
        <v>19</v>
      </c>
      <c r="B31" s="893"/>
      <c r="C31" s="894"/>
      <c r="D31" s="895"/>
      <c r="E31" s="193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538"/>
    </row>
    <row r="32" spans="1:21" ht="18.95" customHeight="1" x14ac:dyDescent="0.35">
      <c r="A32" s="536">
        <v>19</v>
      </c>
      <c r="B32" s="208" t="s">
        <v>26</v>
      </c>
      <c r="C32" s="888"/>
      <c r="D32" s="889"/>
      <c r="E32" s="193"/>
      <c r="F32" s="264"/>
      <c r="G32" s="200" t="s">
        <v>877</v>
      </c>
      <c r="H32" s="201"/>
      <c r="I32" s="265"/>
      <c r="J32" s="202"/>
      <c r="K32" s="202"/>
      <c r="L32" s="164"/>
      <c r="M32" s="266"/>
      <c r="N32" s="267"/>
      <c r="O32" s="267"/>
      <c r="P32" s="233"/>
      <c r="Q32" s="101"/>
      <c r="R32" s="538"/>
    </row>
    <row r="33" spans="1:20" ht="18.95" customHeight="1" x14ac:dyDescent="0.35">
      <c r="A33" s="536">
        <v>19</v>
      </c>
      <c r="B33" s="208" t="s">
        <v>27</v>
      </c>
      <c r="C33" s="888"/>
      <c r="D33" s="889"/>
      <c r="E33" s="193"/>
      <c r="F33" s="254" t="s">
        <v>933</v>
      </c>
      <c r="G33" s="207" t="s">
        <v>30</v>
      </c>
      <c r="H33" s="238"/>
      <c r="I33" s="235"/>
      <c r="J33" s="239"/>
      <c r="K33" s="203" t="s">
        <v>31</v>
      </c>
      <c r="L33" s="896"/>
      <c r="M33" s="896"/>
      <c r="N33" s="379"/>
      <c r="O33" s="379"/>
      <c r="P33" s="236"/>
      <c r="Q33" s="101"/>
      <c r="R33" s="538"/>
      <c r="T33" s="69" t="s">
        <v>646</v>
      </c>
    </row>
    <row r="34" spans="1:20" ht="18.95" customHeight="1" thickBot="1" x14ac:dyDescent="0.4">
      <c r="A34" s="536">
        <v>19</v>
      </c>
      <c r="B34" s="226" t="s">
        <v>28</v>
      </c>
      <c r="C34" s="888"/>
      <c r="D34" s="889"/>
      <c r="E34" s="193"/>
      <c r="F34" s="205" t="s">
        <v>311</v>
      </c>
      <c r="G34" s="207" t="s">
        <v>36</v>
      </c>
      <c r="H34" s="206"/>
      <c r="I34" s="640"/>
      <c r="J34" s="641"/>
      <c r="K34" s="642" t="s">
        <v>31</v>
      </c>
      <c r="L34" s="897"/>
      <c r="M34" s="897"/>
      <c r="N34" s="377">
        <f ca="1">'SBM-Vorrichtungen-FWZ'!T35</f>
        <v>0</v>
      </c>
      <c r="O34" s="377">
        <f ca="1">'SBM-Vorrichtungen-FWZ'!T34</f>
        <v>0</v>
      </c>
      <c r="P34" s="365">
        <f ca="1">'SBM-Vorrichtungen-FWZ'!T33</f>
        <v>0</v>
      </c>
      <c r="Q34" s="101"/>
      <c r="R34" s="538"/>
    </row>
    <row r="35" spans="1:20" ht="18.95" customHeight="1" thickBot="1" x14ac:dyDescent="0.4">
      <c r="A35" s="536">
        <v>19</v>
      </c>
      <c r="B35" s="208" t="s">
        <v>327</v>
      </c>
      <c r="C35" s="888"/>
      <c r="D35" s="889"/>
      <c r="E35" s="193"/>
      <c r="F35" s="648"/>
      <c r="G35" s="649" t="s">
        <v>935</v>
      </c>
      <c r="H35" s="650"/>
      <c r="I35" s="651"/>
      <c r="J35" s="651"/>
      <c r="K35" s="651"/>
      <c r="L35" s="651"/>
      <c r="M35" s="651"/>
      <c r="N35" s="647">
        <f ca="1">SUM(N33:N34)</f>
        <v>0</v>
      </c>
      <c r="O35" s="647">
        <f t="shared" ref="O35:P35" ca="1" si="0">SUM(O33:O34)</f>
        <v>0</v>
      </c>
      <c r="P35" s="652">
        <f t="shared" ca="1" si="0"/>
        <v>0</v>
      </c>
      <c r="Q35" s="101"/>
      <c r="R35" s="538"/>
    </row>
    <row r="36" spans="1:20" ht="18.95" customHeight="1" thickBot="1" x14ac:dyDescent="0.4">
      <c r="A36" s="536">
        <v>19</v>
      </c>
      <c r="B36" s="268" t="s">
        <v>29</v>
      </c>
      <c r="C36" s="899"/>
      <c r="D36" s="900"/>
      <c r="E36" s="193"/>
      <c r="F36" s="643"/>
      <c r="G36" s="228" t="s">
        <v>934</v>
      </c>
      <c r="H36" s="227"/>
      <c r="I36" s="229"/>
      <c r="J36" s="644"/>
      <c r="K36" s="230"/>
      <c r="L36" s="898"/>
      <c r="M36" s="898"/>
      <c r="N36" s="645"/>
      <c r="O36" s="645"/>
      <c r="P36" s="646" t="str">
        <f>IF(AND(OR(C27=0,D27=0),OR(C28=0,D28=0)),"",P35+(O35*D27)+(N35*D28))</f>
        <v/>
      </c>
      <c r="Q36" s="101"/>
      <c r="R36" s="538"/>
    </row>
    <row r="37" spans="1:20" ht="12" customHeight="1" thickBot="1" x14ac:dyDescent="0.4">
      <c r="A37" s="536">
        <v>20</v>
      </c>
      <c r="B37" s="111"/>
      <c r="C37" s="111"/>
      <c r="D37" s="111"/>
      <c r="E37" s="27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</row>
    <row r="38" spans="1:20" ht="22.5" customHeight="1" x14ac:dyDescent="0.35">
      <c r="A38" s="532"/>
      <c r="B38" s="272" t="s">
        <v>444</v>
      </c>
      <c r="C38" s="881"/>
      <c r="D38" s="882"/>
      <c r="E38" s="882"/>
      <c r="F38" s="882"/>
      <c r="G38" s="882"/>
      <c r="H38" s="882"/>
      <c r="I38" s="882"/>
      <c r="J38" s="882"/>
      <c r="K38" s="882"/>
      <c r="L38" s="882"/>
      <c r="M38" s="882"/>
      <c r="N38" s="882"/>
      <c r="O38" s="882"/>
      <c r="P38" s="883"/>
      <c r="Q38" s="101"/>
    </row>
    <row r="39" spans="1:20" ht="22.5" customHeight="1" x14ac:dyDescent="0.35">
      <c r="A39" s="532"/>
      <c r="B39" s="273"/>
      <c r="C39" s="884"/>
      <c r="D39" s="884"/>
      <c r="E39" s="884"/>
      <c r="F39" s="884"/>
      <c r="G39" s="884"/>
      <c r="H39" s="884"/>
      <c r="I39" s="884"/>
      <c r="J39" s="884"/>
      <c r="K39" s="884"/>
      <c r="L39" s="884"/>
      <c r="M39" s="884"/>
      <c r="N39" s="884"/>
      <c r="O39" s="884"/>
      <c r="P39" s="885"/>
      <c r="Q39" s="101"/>
    </row>
    <row r="40" spans="1:20" ht="22.5" customHeight="1" x14ac:dyDescent="0.35">
      <c r="A40" s="532"/>
      <c r="B40" s="273"/>
      <c r="C40" s="884"/>
      <c r="D40" s="884"/>
      <c r="E40" s="884"/>
      <c r="F40" s="884"/>
      <c r="G40" s="884"/>
      <c r="H40" s="884"/>
      <c r="I40" s="884"/>
      <c r="J40" s="884"/>
      <c r="K40" s="884"/>
      <c r="L40" s="884"/>
      <c r="M40" s="884"/>
      <c r="N40" s="884"/>
      <c r="O40" s="884"/>
      <c r="P40" s="885"/>
      <c r="Q40" s="101"/>
    </row>
    <row r="41" spans="1:20" ht="22.5" customHeight="1" thickBot="1" x14ac:dyDescent="0.4">
      <c r="A41" s="532"/>
      <c r="B41" s="274"/>
      <c r="C41" s="886"/>
      <c r="D41" s="886"/>
      <c r="E41" s="886"/>
      <c r="F41" s="886"/>
      <c r="G41" s="886"/>
      <c r="H41" s="886"/>
      <c r="I41" s="886"/>
      <c r="J41" s="886"/>
      <c r="K41" s="886"/>
      <c r="L41" s="886"/>
      <c r="M41" s="886"/>
      <c r="N41" s="886"/>
      <c r="O41" s="886"/>
      <c r="P41" s="887"/>
      <c r="Q41" s="101"/>
    </row>
    <row r="42" spans="1:20" ht="7.5" customHeight="1" x14ac:dyDescent="0.35">
      <c r="A42" s="532"/>
      <c r="B42" s="101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</row>
  </sheetData>
  <mergeCells count="34">
    <mergeCell ref="M5:P5"/>
    <mergeCell ref="M6:P6"/>
    <mergeCell ref="M7:P7"/>
    <mergeCell ref="M8:P8"/>
    <mergeCell ref="I5:K5"/>
    <mergeCell ref="I6:K6"/>
    <mergeCell ref="I7:K7"/>
    <mergeCell ref="I8:K8"/>
    <mergeCell ref="C5:E5"/>
    <mergeCell ref="C6:E6"/>
    <mergeCell ref="C8:E8"/>
    <mergeCell ref="C7:E7"/>
    <mergeCell ref="C9:D9"/>
    <mergeCell ref="C17:D17"/>
    <mergeCell ref="C18:D18"/>
    <mergeCell ref="C21:D21"/>
    <mergeCell ref="C22:D22"/>
    <mergeCell ref="C23:D23"/>
    <mergeCell ref="B20:D20"/>
    <mergeCell ref="L23:M23"/>
    <mergeCell ref="C38:P41"/>
    <mergeCell ref="C35:D35"/>
    <mergeCell ref="B30:D31"/>
    <mergeCell ref="C34:D34"/>
    <mergeCell ref="L33:M33"/>
    <mergeCell ref="L34:M34"/>
    <mergeCell ref="L36:M36"/>
    <mergeCell ref="C36:D36"/>
    <mergeCell ref="D24:D26"/>
    <mergeCell ref="C32:D32"/>
    <mergeCell ref="C33:D33"/>
    <mergeCell ref="L26:M26"/>
    <mergeCell ref="L27:M27"/>
    <mergeCell ref="L28:M28"/>
  </mergeCells>
  <conditionalFormatting sqref="G27:L28">
    <cfRule type="expression" dxfId="52" priority="45" stopIfTrue="1">
      <formula>$C$35="FCA"</formula>
    </cfRule>
  </conditionalFormatting>
  <conditionalFormatting sqref="G27:M27">
    <cfRule type="expression" dxfId="51" priority="38" stopIfTrue="1">
      <formula>$C$35="DAP"</formula>
    </cfRule>
  </conditionalFormatting>
  <conditionalFormatting sqref="O11:O36">
    <cfRule type="expression" dxfId="50" priority="4">
      <formula>ISBLANK($C$27)</formula>
    </cfRule>
  </conditionalFormatting>
  <conditionalFormatting sqref="N11:N36">
    <cfRule type="expression" dxfId="49" priority="3">
      <formula>ISBLANK($C$28)</formula>
    </cfRule>
  </conditionalFormatting>
  <conditionalFormatting sqref="P11:P36 R11:R30">
    <cfRule type="expression" dxfId="48" priority="2">
      <formula>ISBLANK($C$26)</formula>
    </cfRule>
  </conditionalFormatting>
  <conditionalFormatting sqref="T29">
    <cfRule type="expression" dxfId="47" priority="1">
      <formula>ISBLANK($C$26)</formula>
    </cfRule>
  </conditionalFormatting>
  <dataValidations count="5">
    <dataValidation type="list" allowBlank="1" showInputMessage="1" showErrorMessage="1" sqref="C26:C28">
      <formula1>listZulässigeAngebotswährungen</formula1>
    </dataValidation>
    <dataValidation type="list" allowBlank="1" showInputMessage="1" showErrorMessage="1" sqref="C35">
      <formula1>"FCA, DAP"</formula1>
    </dataValidation>
    <dataValidation type="textLength" operator="equal" allowBlank="1" showInputMessage="1" showErrorMessage="1" promptTitle="BMW Lieferanten-Nr." prompt="Bitte geben Sie Ihre Lieferanten-Nr. immer mit 8 Stellen ein._x000a_z.B. 10452710._x000a_Verwenden Sie keinen Bindestrich bzw. Leerzeichen hierzu._x000a_" sqref="I6:K6">
      <formula1>8</formula1>
    </dataValidation>
    <dataValidation type="textLength" operator="equal" allowBlank="1" showInputMessage="1" showErrorMessage="1" promptTitle="BMW Sachnummer" prompt="Bitte geben Sie die BMW Sachnummer. immer mit 7 Stellen ein._x000a_z.B. 7654321._x000a_" sqref="I8:K8">
      <formula1>7</formula1>
    </dataValidation>
    <dataValidation type="textLength" allowBlank="1" showInputMessage="1" showErrorMessage="1" promptTitle="BMW Projekt-Nr." prompt="Bitte geben Sie immer nur ein Fahrzeug- bzw. Motorenprojekt an._x000a_z.B. F45, B30, etc." sqref="I7:K7">
      <formula1>3</formula1>
      <formula2>7</formula2>
    </dataValidation>
  </dataValidations>
  <hyperlinks>
    <hyperlink ref="O2" r:id="rId1"/>
  </hyperlinks>
  <pageMargins left="0.39370078740157483" right="0.39370078740157483" top="0.39370078740157483" bottom="0.39370078740157483" header="0.31496062992125984" footer="0.31496062992125984"/>
  <pageSetup paperSize="9" scale="69" orientation="landscape" r:id="rId2"/>
  <ignoredErrors>
    <ignoredError sqref="N26:P26 P35:P36 N34:P34 N35:O35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>
    <tabColor theme="0" tint="-4.9989318521683403E-2"/>
  </sheetPr>
  <dimension ref="A3:IV18"/>
  <sheetViews>
    <sheetView showGridLines="0" zoomScaleNormal="100" workbookViewId="0">
      <selection activeCell="B7" sqref="B7"/>
    </sheetView>
  </sheetViews>
  <sheetFormatPr baseColWidth="10" defaultColWidth="11.53125" defaultRowHeight="14.25" x14ac:dyDescent="0.45"/>
  <cols>
    <col min="1" max="16384" width="11.53125" style="282"/>
  </cols>
  <sheetData>
    <row r="3" spans="1:256" x14ac:dyDescent="0.45">
      <c r="B3" s="688" t="s">
        <v>953</v>
      </c>
    </row>
    <row r="4" spans="1:256" x14ac:dyDescent="0.45">
      <c r="B4" s="687"/>
    </row>
    <row r="5" spans="1:256" x14ac:dyDescent="0.45">
      <c r="B5" s="690"/>
    </row>
    <row r="7" spans="1:256" x14ac:dyDescent="0.45">
      <c r="B7" s="710" t="s">
        <v>954</v>
      </c>
    </row>
    <row r="13" spans="1:256" s="689" customFormat="1" x14ac:dyDescent="0.45">
      <c r="A13" s="282"/>
      <c r="B13" s="282"/>
      <c r="C13" s="282"/>
      <c r="D13" s="282"/>
      <c r="E13" s="282"/>
      <c r="F13" s="282"/>
      <c r="G13" s="282"/>
      <c r="H13" s="282"/>
      <c r="I13" s="282"/>
      <c r="J13" s="282"/>
      <c r="K13" s="282"/>
      <c r="L13" s="282"/>
      <c r="M13" s="282"/>
      <c r="N13" s="282"/>
      <c r="O13" s="282"/>
      <c r="P13" s="282"/>
      <c r="Q13" s="282"/>
      <c r="R13" s="282"/>
      <c r="S13" s="282"/>
      <c r="T13" s="282"/>
      <c r="U13" s="282"/>
      <c r="V13" s="282"/>
      <c r="W13" s="282"/>
      <c r="X13" s="282"/>
      <c r="Y13" s="282"/>
      <c r="Z13" s="282"/>
      <c r="AA13" s="282"/>
      <c r="AB13" s="282"/>
      <c r="AC13" s="282"/>
      <c r="AD13" s="282"/>
      <c r="AE13" s="282"/>
      <c r="AF13" s="282"/>
      <c r="AG13" s="282"/>
      <c r="AH13" s="282"/>
      <c r="AI13" s="282"/>
      <c r="AJ13" s="282"/>
      <c r="AK13" s="282"/>
      <c r="AL13" s="282"/>
      <c r="AM13" s="282"/>
      <c r="AN13" s="282"/>
      <c r="AO13" s="282"/>
      <c r="AP13" s="282"/>
      <c r="AQ13" s="282"/>
      <c r="AR13" s="282"/>
      <c r="AS13" s="282"/>
      <c r="AT13" s="282"/>
      <c r="AU13" s="282"/>
      <c r="AV13" s="282"/>
      <c r="AW13" s="282"/>
      <c r="AX13" s="282"/>
      <c r="AY13" s="282"/>
      <c r="AZ13" s="282"/>
      <c r="BA13" s="282"/>
      <c r="BB13" s="282"/>
      <c r="BC13" s="282"/>
      <c r="BD13" s="282"/>
      <c r="BE13" s="282"/>
      <c r="BF13" s="282"/>
      <c r="BG13" s="282"/>
      <c r="BH13" s="282"/>
      <c r="BI13" s="282"/>
      <c r="BJ13" s="282"/>
      <c r="BK13" s="282"/>
      <c r="BL13" s="282"/>
      <c r="BM13" s="282"/>
      <c r="BN13" s="282"/>
      <c r="BO13" s="282"/>
      <c r="BP13" s="282"/>
      <c r="BQ13" s="282"/>
      <c r="BR13" s="282"/>
      <c r="BS13" s="282"/>
      <c r="BT13" s="282"/>
      <c r="BU13" s="282"/>
      <c r="BV13" s="282"/>
      <c r="BW13" s="282"/>
      <c r="BX13" s="282"/>
      <c r="BY13" s="282"/>
      <c r="BZ13" s="282"/>
      <c r="CA13" s="282"/>
      <c r="CB13" s="282"/>
      <c r="CC13" s="282"/>
      <c r="CD13" s="282"/>
      <c r="CE13" s="282"/>
      <c r="CF13" s="282"/>
      <c r="CG13" s="282"/>
      <c r="CH13" s="282"/>
      <c r="CI13" s="282"/>
      <c r="CJ13" s="282"/>
      <c r="CK13" s="282"/>
      <c r="CL13" s="282"/>
      <c r="CM13" s="282"/>
      <c r="CN13" s="282"/>
      <c r="CO13" s="282"/>
      <c r="CP13" s="282"/>
      <c r="CQ13" s="282"/>
      <c r="CR13" s="282"/>
      <c r="CS13" s="282"/>
      <c r="CT13" s="282"/>
      <c r="CU13" s="282"/>
      <c r="CV13" s="282"/>
      <c r="CW13" s="282"/>
      <c r="CX13" s="282"/>
      <c r="CY13" s="282"/>
      <c r="CZ13" s="282"/>
      <c r="DA13" s="282"/>
      <c r="DB13" s="282"/>
      <c r="DC13" s="282"/>
      <c r="DD13" s="282"/>
      <c r="DE13" s="282"/>
      <c r="DF13" s="282"/>
      <c r="DG13" s="282"/>
      <c r="DH13" s="282"/>
      <c r="DI13" s="282"/>
      <c r="DJ13" s="282"/>
      <c r="DK13" s="282"/>
      <c r="DL13" s="282"/>
      <c r="DM13" s="282"/>
      <c r="DN13" s="282"/>
      <c r="DO13" s="282"/>
      <c r="DP13" s="282"/>
      <c r="DQ13" s="282"/>
      <c r="DR13" s="282"/>
      <c r="DS13" s="282"/>
      <c r="DT13" s="282"/>
      <c r="DU13" s="282"/>
      <c r="DV13" s="282"/>
      <c r="DW13" s="282"/>
      <c r="DX13" s="282"/>
      <c r="DY13" s="282"/>
      <c r="DZ13" s="282"/>
      <c r="EA13" s="282"/>
      <c r="EB13" s="282"/>
      <c r="EC13" s="282"/>
      <c r="ED13" s="282"/>
      <c r="EE13" s="282"/>
      <c r="EF13" s="282"/>
      <c r="EG13" s="282"/>
      <c r="EH13" s="282"/>
      <c r="EI13" s="282"/>
      <c r="EJ13" s="282"/>
      <c r="EK13" s="282"/>
      <c r="EL13" s="282"/>
      <c r="EM13" s="282"/>
      <c r="EN13" s="282"/>
      <c r="EO13" s="282"/>
      <c r="EP13" s="282"/>
      <c r="EQ13" s="282"/>
      <c r="ER13" s="282"/>
      <c r="ES13" s="282"/>
      <c r="ET13" s="282"/>
      <c r="EU13" s="282"/>
      <c r="EV13" s="282"/>
      <c r="EW13" s="282"/>
      <c r="EX13" s="282"/>
      <c r="EY13" s="282"/>
      <c r="EZ13" s="282"/>
      <c r="FA13" s="282"/>
      <c r="FB13" s="282"/>
      <c r="FC13" s="282"/>
      <c r="FD13" s="282"/>
      <c r="FE13" s="282"/>
      <c r="FF13" s="282"/>
      <c r="FG13" s="282"/>
      <c r="FH13" s="282"/>
      <c r="FI13" s="282"/>
      <c r="FJ13" s="282"/>
      <c r="FK13" s="282"/>
      <c r="FL13" s="282"/>
      <c r="FM13" s="282"/>
      <c r="FN13" s="282"/>
      <c r="FO13" s="282"/>
      <c r="FP13" s="282"/>
      <c r="FQ13" s="282"/>
      <c r="FR13" s="282"/>
      <c r="FS13" s="282"/>
      <c r="FT13" s="282"/>
      <c r="FU13" s="282"/>
      <c r="FV13" s="282"/>
      <c r="FW13" s="282"/>
      <c r="FX13" s="282"/>
      <c r="FY13" s="282"/>
      <c r="FZ13" s="282"/>
      <c r="GA13" s="282"/>
      <c r="GB13" s="282"/>
      <c r="GC13" s="282"/>
      <c r="GD13" s="282"/>
      <c r="GE13" s="282"/>
      <c r="GF13" s="282"/>
      <c r="GG13" s="282"/>
      <c r="GH13" s="282"/>
      <c r="GI13" s="282"/>
      <c r="GJ13" s="282"/>
      <c r="GK13" s="282"/>
      <c r="GL13" s="282"/>
      <c r="GM13" s="282"/>
      <c r="GN13" s="282"/>
      <c r="GO13" s="282"/>
      <c r="GP13" s="282"/>
      <c r="GQ13" s="282"/>
      <c r="GR13" s="282"/>
      <c r="GS13" s="282"/>
      <c r="GT13" s="282"/>
      <c r="GU13" s="282"/>
      <c r="GV13" s="282"/>
      <c r="GW13" s="282"/>
      <c r="GX13" s="282"/>
      <c r="GY13" s="282"/>
      <c r="GZ13" s="282"/>
      <c r="HA13" s="282"/>
      <c r="HB13" s="282"/>
      <c r="HC13" s="282"/>
      <c r="HD13" s="282"/>
      <c r="HE13" s="282"/>
      <c r="HF13" s="282"/>
      <c r="HG13" s="282"/>
      <c r="HH13" s="282"/>
      <c r="HI13" s="282"/>
      <c r="HJ13" s="282"/>
      <c r="HK13" s="282"/>
      <c r="HL13" s="282"/>
      <c r="HM13" s="282"/>
      <c r="HN13" s="282"/>
      <c r="HO13" s="282"/>
      <c r="HP13" s="282"/>
      <c r="HQ13" s="282"/>
      <c r="HR13" s="282"/>
      <c r="HS13" s="282"/>
      <c r="HT13" s="282"/>
      <c r="HU13" s="282"/>
      <c r="HV13" s="282"/>
      <c r="HW13" s="282"/>
      <c r="HX13" s="282"/>
      <c r="HY13" s="282"/>
      <c r="HZ13" s="282"/>
      <c r="IA13" s="282"/>
      <c r="IB13" s="282"/>
      <c r="IC13" s="282"/>
      <c r="ID13" s="282"/>
      <c r="IE13" s="282"/>
      <c r="IF13" s="282"/>
      <c r="IG13" s="282"/>
      <c r="IH13" s="282"/>
      <c r="II13" s="282"/>
      <c r="IJ13" s="282"/>
      <c r="IK13" s="282"/>
      <c r="IL13" s="282"/>
      <c r="IM13" s="282"/>
      <c r="IN13" s="282"/>
      <c r="IO13" s="282"/>
      <c r="IP13" s="282"/>
      <c r="IQ13" s="282"/>
      <c r="IR13" s="282"/>
      <c r="IS13" s="282"/>
      <c r="IT13" s="282"/>
      <c r="IU13" s="282"/>
      <c r="IV13" s="282"/>
    </row>
    <row r="14" spans="1:256" s="689" customFormat="1" x14ac:dyDescent="0.45">
      <c r="A14" s="282"/>
      <c r="B14" s="282"/>
      <c r="C14" s="282"/>
      <c r="D14" s="282"/>
      <c r="E14" s="282"/>
      <c r="F14" s="282"/>
      <c r="G14" s="282"/>
      <c r="H14" s="282"/>
      <c r="I14" s="282"/>
      <c r="J14" s="282"/>
      <c r="K14" s="282"/>
      <c r="L14" s="282"/>
      <c r="M14" s="282"/>
      <c r="N14" s="282"/>
      <c r="O14" s="282"/>
      <c r="P14" s="282"/>
      <c r="Q14" s="282"/>
      <c r="R14" s="282"/>
      <c r="S14" s="282"/>
      <c r="T14" s="282"/>
      <c r="U14" s="282"/>
      <c r="V14" s="282"/>
      <c r="W14" s="282"/>
      <c r="X14" s="282"/>
      <c r="Y14" s="282"/>
      <c r="Z14" s="282"/>
      <c r="AA14" s="282"/>
      <c r="AB14" s="282"/>
      <c r="AC14" s="282"/>
      <c r="AD14" s="282"/>
      <c r="AE14" s="282"/>
      <c r="AF14" s="282"/>
      <c r="AG14" s="282"/>
      <c r="AH14" s="282"/>
      <c r="AI14" s="282"/>
      <c r="AJ14" s="282"/>
      <c r="AK14" s="282"/>
      <c r="AL14" s="282"/>
      <c r="AM14" s="282"/>
      <c r="AN14" s="282"/>
      <c r="AO14" s="282"/>
      <c r="AP14" s="282"/>
      <c r="AQ14" s="282"/>
      <c r="AR14" s="282"/>
      <c r="AS14" s="282"/>
      <c r="AT14" s="282"/>
      <c r="AU14" s="282"/>
      <c r="AV14" s="282"/>
      <c r="AW14" s="282"/>
      <c r="AX14" s="282"/>
      <c r="AY14" s="282"/>
      <c r="AZ14" s="282"/>
      <c r="BA14" s="282"/>
      <c r="BB14" s="282"/>
      <c r="BC14" s="282"/>
      <c r="BD14" s="282"/>
      <c r="BE14" s="282"/>
      <c r="BF14" s="282"/>
      <c r="BG14" s="282"/>
      <c r="BH14" s="282"/>
      <c r="BI14" s="282"/>
      <c r="BJ14" s="282"/>
      <c r="BK14" s="282"/>
      <c r="BL14" s="282"/>
      <c r="BM14" s="282"/>
      <c r="BN14" s="282"/>
      <c r="BO14" s="282"/>
      <c r="BP14" s="282"/>
      <c r="BQ14" s="282"/>
      <c r="BR14" s="282"/>
      <c r="BS14" s="282"/>
      <c r="BT14" s="282"/>
      <c r="BU14" s="282"/>
      <c r="BV14" s="282"/>
      <c r="BW14" s="282"/>
      <c r="BX14" s="282"/>
      <c r="BY14" s="282"/>
      <c r="BZ14" s="282"/>
      <c r="CA14" s="282"/>
      <c r="CB14" s="282"/>
      <c r="CC14" s="282"/>
      <c r="CD14" s="282"/>
      <c r="CE14" s="282"/>
      <c r="CF14" s="282"/>
      <c r="CG14" s="282"/>
      <c r="CH14" s="282"/>
      <c r="CI14" s="282"/>
      <c r="CJ14" s="282"/>
      <c r="CK14" s="282"/>
      <c r="CL14" s="282"/>
      <c r="CM14" s="282"/>
      <c r="CN14" s="282"/>
      <c r="CO14" s="282"/>
      <c r="CP14" s="282"/>
      <c r="CQ14" s="282"/>
      <c r="CR14" s="282"/>
      <c r="CS14" s="282"/>
      <c r="CT14" s="282"/>
      <c r="CU14" s="282"/>
      <c r="CV14" s="282"/>
      <c r="CW14" s="282"/>
      <c r="CX14" s="282"/>
      <c r="CY14" s="282"/>
      <c r="CZ14" s="282"/>
      <c r="DA14" s="282"/>
      <c r="DB14" s="282"/>
      <c r="DC14" s="282"/>
      <c r="DD14" s="282"/>
      <c r="DE14" s="282"/>
      <c r="DF14" s="282"/>
      <c r="DG14" s="282"/>
      <c r="DH14" s="282"/>
      <c r="DI14" s="282"/>
      <c r="DJ14" s="282"/>
      <c r="DK14" s="282"/>
      <c r="DL14" s="282"/>
      <c r="DM14" s="282"/>
      <c r="DN14" s="282"/>
      <c r="DO14" s="282"/>
      <c r="DP14" s="282"/>
      <c r="DQ14" s="282"/>
      <c r="DR14" s="282"/>
      <c r="DS14" s="282"/>
      <c r="DT14" s="282"/>
      <c r="DU14" s="282"/>
      <c r="DV14" s="282"/>
      <c r="DW14" s="282"/>
      <c r="DX14" s="282"/>
      <c r="DY14" s="282"/>
      <c r="DZ14" s="282"/>
      <c r="EA14" s="282"/>
      <c r="EB14" s="282"/>
      <c r="EC14" s="282"/>
      <c r="ED14" s="282"/>
      <c r="EE14" s="282"/>
      <c r="EF14" s="282"/>
      <c r="EG14" s="282"/>
      <c r="EH14" s="282"/>
      <c r="EI14" s="282"/>
      <c r="EJ14" s="282"/>
      <c r="EK14" s="282"/>
      <c r="EL14" s="282"/>
      <c r="EM14" s="282"/>
      <c r="EN14" s="282"/>
      <c r="EO14" s="282"/>
      <c r="EP14" s="282"/>
      <c r="EQ14" s="282"/>
      <c r="ER14" s="282"/>
      <c r="ES14" s="282"/>
      <c r="ET14" s="282"/>
      <c r="EU14" s="282"/>
      <c r="EV14" s="282"/>
      <c r="EW14" s="282"/>
      <c r="EX14" s="282"/>
      <c r="EY14" s="282"/>
      <c r="EZ14" s="282"/>
      <c r="FA14" s="282"/>
      <c r="FB14" s="282"/>
      <c r="FC14" s="282"/>
      <c r="FD14" s="282"/>
      <c r="FE14" s="282"/>
      <c r="FF14" s="282"/>
      <c r="FG14" s="282"/>
      <c r="FH14" s="282"/>
      <c r="FI14" s="282"/>
      <c r="FJ14" s="282"/>
      <c r="FK14" s="282"/>
      <c r="FL14" s="282"/>
      <c r="FM14" s="282"/>
      <c r="FN14" s="282"/>
      <c r="FO14" s="282"/>
      <c r="FP14" s="282"/>
      <c r="FQ14" s="282"/>
      <c r="FR14" s="282"/>
      <c r="FS14" s="282"/>
      <c r="FT14" s="282"/>
      <c r="FU14" s="282"/>
      <c r="FV14" s="282"/>
      <c r="FW14" s="282"/>
      <c r="FX14" s="282"/>
      <c r="FY14" s="282"/>
      <c r="FZ14" s="282"/>
      <c r="GA14" s="282"/>
      <c r="GB14" s="282"/>
      <c r="GC14" s="282"/>
      <c r="GD14" s="282"/>
      <c r="GE14" s="282"/>
      <c r="GF14" s="282"/>
      <c r="GG14" s="282"/>
      <c r="GH14" s="282"/>
      <c r="GI14" s="282"/>
      <c r="GJ14" s="282"/>
      <c r="GK14" s="282"/>
      <c r="GL14" s="282"/>
      <c r="GM14" s="282"/>
      <c r="GN14" s="282"/>
      <c r="GO14" s="282"/>
      <c r="GP14" s="282"/>
      <c r="GQ14" s="282"/>
      <c r="GR14" s="282"/>
      <c r="GS14" s="282"/>
      <c r="GT14" s="282"/>
      <c r="GU14" s="282"/>
      <c r="GV14" s="282"/>
      <c r="GW14" s="282"/>
      <c r="GX14" s="282"/>
      <c r="GY14" s="282"/>
      <c r="GZ14" s="282"/>
      <c r="HA14" s="282"/>
      <c r="HB14" s="282"/>
      <c r="HC14" s="282"/>
      <c r="HD14" s="282"/>
      <c r="HE14" s="282"/>
      <c r="HF14" s="282"/>
      <c r="HG14" s="282"/>
      <c r="HH14" s="282"/>
      <c r="HI14" s="282"/>
      <c r="HJ14" s="282"/>
      <c r="HK14" s="282"/>
      <c r="HL14" s="282"/>
      <c r="HM14" s="282"/>
      <c r="HN14" s="282"/>
      <c r="HO14" s="282"/>
      <c r="HP14" s="282"/>
      <c r="HQ14" s="282"/>
      <c r="HR14" s="282"/>
      <c r="HS14" s="282"/>
      <c r="HT14" s="282"/>
      <c r="HU14" s="282"/>
      <c r="HV14" s="282"/>
      <c r="HW14" s="282"/>
      <c r="HX14" s="282"/>
      <c r="HY14" s="282"/>
      <c r="HZ14" s="282"/>
      <c r="IA14" s="282"/>
      <c r="IB14" s="282"/>
      <c r="IC14" s="282"/>
      <c r="ID14" s="282"/>
      <c r="IE14" s="282"/>
      <c r="IF14" s="282"/>
      <c r="IG14" s="282"/>
      <c r="IH14" s="282"/>
      <c r="II14" s="282"/>
      <c r="IJ14" s="282"/>
      <c r="IK14" s="282"/>
      <c r="IL14" s="282"/>
      <c r="IM14" s="282"/>
      <c r="IN14" s="282"/>
      <c r="IO14" s="282"/>
      <c r="IP14" s="282"/>
      <c r="IQ14" s="282"/>
      <c r="IR14" s="282"/>
      <c r="IS14" s="282"/>
      <c r="IT14" s="282"/>
      <c r="IU14" s="282"/>
      <c r="IV14" s="282"/>
    </row>
    <row r="15" spans="1:256" s="689" customFormat="1" x14ac:dyDescent="0.45">
      <c r="A15" s="282"/>
      <c r="B15" s="282"/>
      <c r="C15" s="282"/>
      <c r="D15" s="282"/>
      <c r="E15" s="282"/>
      <c r="F15" s="282"/>
      <c r="G15" s="282"/>
      <c r="H15" s="282"/>
      <c r="I15" s="282"/>
      <c r="J15" s="282"/>
      <c r="K15" s="282"/>
      <c r="L15" s="282"/>
      <c r="M15" s="282"/>
      <c r="N15" s="282"/>
      <c r="O15" s="282"/>
      <c r="P15" s="282"/>
      <c r="Q15" s="282"/>
      <c r="R15" s="282"/>
      <c r="S15" s="282"/>
      <c r="T15" s="282"/>
      <c r="U15" s="282"/>
      <c r="V15" s="282"/>
      <c r="W15" s="282"/>
      <c r="X15" s="282"/>
      <c r="Y15" s="282"/>
      <c r="Z15" s="282"/>
      <c r="AA15" s="282"/>
      <c r="AB15" s="282"/>
      <c r="AC15" s="282"/>
      <c r="AD15" s="282"/>
      <c r="AE15" s="282"/>
      <c r="AF15" s="282"/>
      <c r="AG15" s="282"/>
      <c r="AH15" s="282"/>
      <c r="AI15" s="282"/>
      <c r="AJ15" s="282"/>
      <c r="AK15" s="282"/>
      <c r="AL15" s="282"/>
      <c r="AM15" s="282"/>
      <c r="AN15" s="282"/>
      <c r="AO15" s="282"/>
      <c r="AP15" s="282"/>
      <c r="AQ15" s="282"/>
      <c r="AR15" s="282"/>
      <c r="AS15" s="282"/>
      <c r="AT15" s="282"/>
      <c r="AU15" s="282"/>
      <c r="AV15" s="282"/>
      <c r="AW15" s="282"/>
      <c r="AX15" s="282"/>
      <c r="AY15" s="282"/>
      <c r="AZ15" s="282"/>
      <c r="BA15" s="282"/>
      <c r="BB15" s="282"/>
      <c r="BC15" s="282"/>
      <c r="BD15" s="282"/>
      <c r="BE15" s="282"/>
      <c r="BF15" s="282"/>
      <c r="BG15" s="282"/>
      <c r="BH15" s="282"/>
      <c r="BI15" s="282"/>
      <c r="BJ15" s="282"/>
      <c r="BK15" s="282"/>
      <c r="BL15" s="282"/>
      <c r="BM15" s="282"/>
      <c r="BN15" s="282"/>
      <c r="BO15" s="282"/>
      <c r="BP15" s="282"/>
      <c r="BQ15" s="282"/>
      <c r="BR15" s="282"/>
      <c r="BS15" s="282"/>
      <c r="BT15" s="282"/>
      <c r="BU15" s="282"/>
      <c r="BV15" s="282"/>
      <c r="BW15" s="282"/>
      <c r="BX15" s="282"/>
      <c r="BY15" s="282"/>
      <c r="BZ15" s="282"/>
      <c r="CA15" s="282"/>
      <c r="CB15" s="282"/>
      <c r="CC15" s="282"/>
      <c r="CD15" s="282"/>
      <c r="CE15" s="282"/>
      <c r="CF15" s="282"/>
      <c r="CG15" s="282"/>
      <c r="CH15" s="282"/>
      <c r="CI15" s="282"/>
      <c r="CJ15" s="282"/>
      <c r="CK15" s="282"/>
      <c r="CL15" s="282"/>
      <c r="CM15" s="282"/>
      <c r="CN15" s="282"/>
      <c r="CO15" s="282"/>
      <c r="CP15" s="282"/>
      <c r="CQ15" s="282"/>
      <c r="CR15" s="282"/>
      <c r="CS15" s="282"/>
      <c r="CT15" s="282"/>
      <c r="CU15" s="282"/>
      <c r="CV15" s="282"/>
      <c r="CW15" s="282"/>
      <c r="CX15" s="282"/>
      <c r="CY15" s="282"/>
      <c r="CZ15" s="282"/>
      <c r="DA15" s="282"/>
      <c r="DB15" s="282"/>
      <c r="DC15" s="282"/>
      <c r="DD15" s="282"/>
      <c r="DE15" s="282"/>
      <c r="DF15" s="282"/>
      <c r="DG15" s="282"/>
      <c r="DH15" s="282"/>
      <c r="DI15" s="282"/>
      <c r="DJ15" s="282"/>
      <c r="DK15" s="282"/>
      <c r="DL15" s="282"/>
      <c r="DM15" s="282"/>
      <c r="DN15" s="282"/>
      <c r="DO15" s="282"/>
      <c r="DP15" s="282"/>
      <c r="DQ15" s="282"/>
      <c r="DR15" s="282"/>
      <c r="DS15" s="282"/>
      <c r="DT15" s="282"/>
      <c r="DU15" s="282"/>
      <c r="DV15" s="282"/>
      <c r="DW15" s="282"/>
      <c r="DX15" s="282"/>
      <c r="DY15" s="282"/>
      <c r="DZ15" s="282"/>
      <c r="EA15" s="282"/>
      <c r="EB15" s="282"/>
      <c r="EC15" s="282"/>
      <c r="ED15" s="282"/>
      <c r="EE15" s="282"/>
      <c r="EF15" s="282"/>
      <c r="EG15" s="282"/>
      <c r="EH15" s="282"/>
      <c r="EI15" s="282"/>
      <c r="EJ15" s="282"/>
      <c r="EK15" s="282"/>
      <c r="EL15" s="282"/>
      <c r="EM15" s="282"/>
      <c r="EN15" s="282"/>
      <c r="EO15" s="282"/>
      <c r="EP15" s="282"/>
      <c r="EQ15" s="282"/>
      <c r="ER15" s="282"/>
      <c r="ES15" s="282"/>
      <c r="ET15" s="282"/>
      <c r="EU15" s="282"/>
      <c r="EV15" s="282"/>
      <c r="EW15" s="282"/>
      <c r="EX15" s="282"/>
      <c r="EY15" s="282"/>
      <c r="EZ15" s="282"/>
      <c r="FA15" s="282"/>
      <c r="FB15" s="282"/>
      <c r="FC15" s="282"/>
      <c r="FD15" s="282"/>
      <c r="FE15" s="282"/>
      <c r="FF15" s="282"/>
      <c r="FG15" s="282"/>
      <c r="FH15" s="282"/>
      <c r="FI15" s="282"/>
      <c r="FJ15" s="282"/>
      <c r="FK15" s="282"/>
      <c r="FL15" s="282"/>
      <c r="FM15" s="282"/>
      <c r="FN15" s="282"/>
      <c r="FO15" s="282"/>
      <c r="FP15" s="282"/>
      <c r="FQ15" s="282"/>
      <c r="FR15" s="282"/>
      <c r="FS15" s="282"/>
      <c r="FT15" s="282"/>
      <c r="FU15" s="282"/>
      <c r="FV15" s="282"/>
      <c r="FW15" s="282"/>
      <c r="FX15" s="282"/>
      <c r="FY15" s="282"/>
      <c r="FZ15" s="282"/>
      <c r="GA15" s="282"/>
      <c r="GB15" s="282"/>
      <c r="GC15" s="282"/>
      <c r="GD15" s="282"/>
      <c r="GE15" s="282"/>
      <c r="GF15" s="282"/>
      <c r="GG15" s="282"/>
      <c r="GH15" s="282"/>
      <c r="GI15" s="282"/>
      <c r="GJ15" s="282"/>
      <c r="GK15" s="282"/>
      <c r="GL15" s="282"/>
      <c r="GM15" s="282"/>
      <c r="GN15" s="282"/>
      <c r="GO15" s="282"/>
      <c r="GP15" s="282"/>
      <c r="GQ15" s="282"/>
      <c r="GR15" s="282"/>
      <c r="GS15" s="282"/>
      <c r="GT15" s="282"/>
      <c r="GU15" s="282"/>
      <c r="GV15" s="282"/>
      <c r="GW15" s="282"/>
      <c r="GX15" s="282"/>
      <c r="GY15" s="282"/>
      <c r="GZ15" s="282"/>
      <c r="HA15" s="282"/>
      <c r="HB15" s="282"/>
      <c r="HC15" s="282"/>
      <c r="HD15" s="282"/>
      <c r="HE15" s="282"/>
      <c r="HF15" s="282"/>
      <c r="HG15" s="282"/>
      <c r="HH15" s="282"/>
      <c r="HI15" s="282"/>
      <c r="HJ15" s="282"/>
      <c r="HK15" s="282"/>
      <c r="HL15" s="282"/>
      <c r="HM15" s="282"/>
      <c r="HN15" s="282"/>
      <c r="HO15" s="282"/>
      <c r="HP15" s="282"/>
      <c r="HQ15" s="282"/>
      <c r="HR15" s="282"/>
      <c r="HS15" s="282"/>
      <c r="HT15" s="282"/>
      <c r="HU15" s="282"/>
      <c r="HV15" s="282"/>
      <c r="HW15" s="282"/>
      <c r="HX15" s="282"/>
      <c r="HY15" s="282"/>
      <c r="HZ15" s="282"/>
      <c r="IA15" s="282"/>
      <c r="IB15" s="282"/>
      <c r="IC15" s="282"/>
      <c r="ID15" s="282"/>
      <c r="IE15" s="282"/>
      <c r="IF15" s="282"/>
      <c r="IG15" s="282"/>
      <c r="IH15" s="282"/>
      <c r="II15" s="282"/>
      <c r="IJ15" s="282"/>
      <c r="IK15" s="282"/>
      <c r="IL15" s="282"/>
      <c r="IM15" s="282"/>
      <c r="IN15" s="282"/>
      <c r="IO15" s="282"/>
      <c r="IP15" s="282"/>
      <c r="IQ15" s="282"/>
      <c r="IR15" s="282"/>
      <c r="IS15" s="282"/>
      <c r="IT15" s="282"/>
      <c r="IU15" s="282"/>
      <c r="IV15" s="282"/>
    </row>
    <row r="16" spans="1:256" s="689" customFormat="1" x14ac:dyDescent="0.45">
      <c r="A16" s="282"/>
      <c r="B16" s="282"/>
      <c r="C16" s="282"/>
      <c r="D16" s="282"/>
      <c r="E16" s="282"/>
      <c r="F16" s="282"/>
      <c r="G16" s="282"/>
      <c r="H16" s="282"/>
      <c r="I16" s="282"/>
      <c r="J16" s="282"/>
      <c r="K16" s="282"/>
      <c r="L16" s="282"/>
      <c r="M16" s="282"/>
      <c r="N16" s="282"/>
      <c r="O16" s="282"/>
      <c r="P16" s="282"/>
      <c r="Q16" s="282"/>
      <c r="R16" s="282"/>
      <c r="S16" s="282"/>
      <c r="T16" s="282"/>
      <c r="U16" s="282"/>
      <c r="V16" s="282"/>
      <c r="W16" s="282"/>
      <c r="X16" s="282"/>
      <c r="Y16" s="282"/>
      <c r="Z16" s="282"/>
      <c r="AA16" s="282"/>
      <c r="AB16" s="282"/>
      <c r="AC16" s="282"/>
      <c r="AD16" s="282"/>
      <c r="AE16" s="282"/>
      <c r="AF16" s="282"/>
      <c r="AG16" s="282"/>
      <c r="AH16" s="282"/>
      <c r="AI16" s="282"/>
      <c r="AJ16" s="282"/>
      <c r="AK16" s="282"/>
      <c r="AL16" s="282"/>
      <c r="AM16" s="282"/>
      <c r="AN16" s="282"/>
      <c r="AO16" s="282"/>
      <c r="AP16" s="282"/>
      <c r="AQ16" s="282"/>
      <c r="AR16" s="282"/>
      <c r="AS16" s="282"/>
      <c r="AT16" s="282"/>
      <c r="AU16" s="282"/>
      <c r="AV16" s="282"/>
      <c r="AW16" s="282"/>
      <c r="AX16" s="282"/>
      <c r="AY16" s="282"/>
      <c r="AZ16" s="282"/>
      <c r="BA16" s="282"/>
      <c r="BB16" s="282"/>
      <c r="BC16" s="282"/>
      <c r="BD16" s="282"/>
      <c r="BE16" s="282"/>
      <c r="BF16" s="282"/>
      <c r="BG16" s="282"/>
      <c r="BH16" s="282"/>
      <c r="BI16" s="282"/>
      <c r="BJ16" s="282"/>
      <c r="BK16" s="282"/>
      <c r="BL16" s="282"/>
      <c r="BM16" s="282"/>
      <c r="BN16" s="282"/>
      <c r="BO16" s="282"/>
      <c r="BP16" s="282"/>
      <c r="BQ16" s="282"/>
      <c r="BR16" s="282"/>
      <c r="BS16" s="282"/>
      <c r="BT16" s="282"/>
      <c r="BU16" s="282"/>
      <c r="BV16" s="282"/>
      <c r="BW16" s="282"/>
      <c r="BX16" s="282"/>
      <c r="BY16" s="282"/>
      <c r="BZ16" s="282"/>
      <c r="CA16" s="282"/>
      <c r="CB16" s="282"/>
      <c r="CC16" s="282"/>
      <c r="CD16" s="282"/>
      <c r="CE16" s="282"/>
      <c r="CF16" s="282"/>
      <c r="CG16" s="282"/>
      <c r="CH16" s="282"/>
      <c r="CI16" s="282"/>
      <c r="CJ16" s="282"/>
      <c r="CK16" s="282"/>
      <c r="CL16" s="282"/>
      <c r="CM16" s="282"/>
      <c r="CN16" s="282"/>
      <c r="CO16" s="282"/>
      <c r="CP16" s="282"/>
      <c r="CQ16" s="282"/>
      <c r="CR16" s="282"/>
      <c r="CS16" s="282"/>
      <c r="CT16" s="282"/>
      <c r="CU16" s="282"/>
      <c r="CV16" s="282"/>
      <c r="CW16" s="282"/>
      <c r="CX16" s="282"/>
      <c r="CY16" s="282"/>
      <c r="CZ16" s="282"/>
      <c r="DA16" s="282"/>
      <c r="DB16" s="282"/>
      <c r="DC16" s="282"/>
      <c r="DD16" s="282"/>
      <c r="DE16" s="282"/>
      <c r="DF16" s="282"/>
      <c r="DG16" s="282"/>
      <c r="DH16" s="282"/>
      <c r="DI16" s="282"/>
      <c r="DJ16" s="282"/>
      <c r="DK16" s="282"/>
      <c r="DL16" s="282"/>
      <c r="DM16" s="282"/>
      <c r="DN16" s="282"/>
      <c r="DO16" s="282"/>
      <c r="DP16" s="282"/>
      <c r="DQ16" s="282"/>
      <c r="DR16" s="282"/>
      <c r="DS16" s="282"/>
      <c r="DT16" s="282"/>
      <c r="DU16" s="282"/>
      <c r="DV16" s="282"/>
      <c r="DW16" s="282"/>
      <c r="DX16" s="282"/>
      <c r="DY16" s="282"/>
      <c r="DZ16" s="282"/>
      <c r="EA16" s="282"/>
      <c r="EB16" s="282"/>
      <c r="EC16" s="282"/>
      <c r="ED16" s="282"/>
      <c r="EE16" s="282"/>
      <c r="EF16" s="282"/>
      <c r="EG16" s="282"/>
      <c r="EH16" s="282"/>
      <c r="EI16" s="282"/>
      <c r="EJ16" s="282"/>
      <c r="EK16" s="282"/>
      <c r="EL16" s="282"/>
      <c r="EM16" s="282"/>
      <c r="EN16" s="282"/>
      <c r="EO16" s="282"/>
      <c r="EP16" s="282"/>
      <c r="EQ16" s="282"/>
      <c r="ER16" s="282"/>
      <c r="ES16" s="282"/>
      <c r="ET16" s="282"/>
      <c r="EU16" s="282"/>
      <c r="EV16" s="282"/>
      <c r="EW16" s="282"/>
      <c r="EX16" s="282"/>
      <c r="EY16" s="282"/>
      <c r="EZ16" s="282"/>
      <c r="FA16" s="282"/>
      <c r="FB16" s="282"/>
      <c r="FC16" s="282"/>
      <c r="FD16" s="282"/>
      <c r="FE16" s="282"/>
      <c r="FF16" s="282"/>
      <c r="FG16" s="282"/>
      <c r="FH16" s="282"/>
      <c r="FI16" s="282"/>
      <c r="FJ16" s="282"/>
      <c r="FK16" s="282"/>
      <c r="FL16" s="282"/>
      <c r="FM16" s="282"/>
      <c r="FN16" s="282"/>
      <c r="FO16" s="282"/>
      <c r="FP16" s="282"/>
      <c r="FQ16" s="282"/>
      <c r="FR16" s="282"/>
      <c r="FS16" s="282"/>
      <c r="FT16" s="282"/>
      <c r="FU16" s="282"/>
      <c r="FV16" s="282"/>
      <c r="FW16" s="282"/>
      <c r="FX16" s="282"/>
      <c r="FY16" s="282"/>
      <c r="FZ16" s="282"/>
      <c r="GA16" s="282"/>
      <c r="GB16" s="282"/>
      <c r="GC16" s="282"/>
      <c r="GD16" s="282"/>
      <c r="GE16" s="282"/>
      <c r="GF16" s="282"/>
      <c r="GG16" s="282"/>
      <c r="GH16" s="282"/>
      <c r="GI16" s="282"/>
      <c r="GJ16" s="282"/>
      <c r="GK16" s="282"/>
      <c r="GL16" s="282"/>
      <c r="GM16" s="282"/>
      <c r="GN16" s="282"/>
      <c r="GO16" s="282"/>
      <c r="GP16" s="282"/>
      <c r="GQ16" s="282"/>
      <c r="GR16" s="282"/>
      <c r="GS16" s="282"/>
      <c r="GT16" s="282"/>
      <c r="GU16" s="282"/>
      <c r="GV16" s="282"/>
      <c r="GW16" s="282"/>
      <c r="GX16" s="282"/>
      <c r="GY16" s="282"/>
      <c r="GZ16" s="282"/>
      <c r="HA16" s="282"/>
      <c r="HB16" s="282"/>
      <c r="HC16" s="282"/>
      <c r="HD16" s="282"/>
      <c r="HE16" s="282"/>
      <c r="HF16" s="282"/>
      <c r="HG16" s="282"/>
      <c r="HH16" s="282"/>
      <c r="HI16" s="282"/>
      <c r="HJ16" s="282"/>
      <c r="HK16" s="282"/>
      <c r="HL16" s="282"/>
      <c r="HM16" s="282"/>
      <c r="HN16" s="282"/>
      <c r="HO16" s="282"/>
      <c r="HP16" s="282"/>
      <c r="HQ16" s="282"/>
      <c r="HR16" s="282"/>
      <c r="HS16" s="282"/>
      <c r="HT16" s="282"/>
      <c r="HU16" s="282"/>
      <c r="HV16" s="282"/>
      <c r="HW16" s="282"/>
      <c r="HX16" s="282"/>
      <c r="HY16" s="282"/>
      <c r="HZ16" s="282"/>
      <c r="IA16" s="282"/>
      <c r="IB16" s="282"/>
      <c r="IC16" s="282"/>
      <c r="ID16" s="282"/>
      <c r="IE16" s="282"/>
      <c r="IF16" s="282"/>
      <c r="IG16" s="282"/>
      <c r="IH16" s="282"/>
      <c r="II16" s="282"/>
      <c r="IJ16" s="282"/>
      <c r="IK16" s="282"/>
      <c r="IL16" s="282"/>
      <c r="IM16" s="282"/>
      <c r="IN16" s="282"/>
      <c r="IO16" s="282"/>
      <c r="IP16" s="282"/>
      <c r="IQ16" s="282"/>
      <c r="IR16" s="282"/>
      <c r="IS16" s="282"/>
      <c r="IT16" s="282"/>
      <c r="IU16" s="282"/>
      <c r="IV16" s="282"/>
    </row>
    <row r="17" spans="1:256" s="689" customFormat="1" x14ac:dyDescent="0.45">
      <c r="A17" s="282"/>
      <c r="B17" s="282"/>
      <c r="C17" s="282"/>
      <c r="D17" s="282"/>
      <c r="E17" s="282"/>
      <c r="F17" s="282"/>
      <c r="G17" s="282"/>
      <c r="H17" s="282"/>
      <c r="I17" s="282"/>
      <c r="J17" s="282"/>
      <c r="K17" s="282"/>
      <c r="L17" s="282"/>
      <c r="M17" s="282"/>
      <c r="N17" s="282"/>
      <c r="O17" s="282"/>
      <c r="P17" s="282"/>
      <c r="Q17" s="282"/>
      <c r="R17" s="282"/>
      <c r="S17" s="282"/>
      <c r="T17" s="282"/>
      <c r="U17" s="282"/>
      <c r="V17" s="282"/>
      <c r="W17" s="282"/>
      <c r="X17" s="282"/>
      <c r="Y17" s="282"/>
      <c r="Z17" s="282"/>
      <c r="AA17" s="282"/>
      <c r="AB17" s="282"/>
      <c r="AC17" s="282"/>
      <c r="AD17" s="282"/>
      <c r="AE17" s="282"/>
      <c r="AF17" s="282"/>
      <c r="AG17" s="282"/>
      <c r="AH17" s="282"/>
      <c r="AI17" s="282"/>
      <c r="AJ17" s="282"/>
      <c r="AK17" s="282"/>
      <c r="AL17" s="282"/>
      <c r="AM17" s="282"/>
      <c r="AN17" s="282"/>
      <c r="AO17" s="282"/>
      <c r="AP17" s="282"/>
      <c r="AQ17" s="282"/>
      <c r="AR17" s="282"/>
      <c r="AS17" s="282"/>
      <c r="AT17" s="282"/>
      <c r="AU17" s="282"/>
      <c r="AV17" s="282"/>
      <c r="AW17" s="282"/>
      <c r="AX17" s="282"/>
      <c r="AY17" s="282"/>
      <c r="AZ17" s="282"/>
      <c r="BA17" s="282"/>
      <c r="BB17" s="282"/>
      <c r="BC17" s="282"/>
      <c r="BD17" s="282"/>
      <c r="BE17" s="282"/>
      <c r="BF17" s="282"/>
      <c r="BG17" s="282"/>
      <c r="BH17" s="282"/>
      <c r="BI17" s="282"/>
      <c r="BJ17" s="282"/>
      <c r="BK17" s="282"/>
      <c r="BL17" s="282"/>
      <c r="BM17" s="282"/>
      <c r="BN17" s="282"/>
      <c r="BO17" s="282"/>
      <c r="BP17" s="282"/>
      <c r="BQ17" s="282"/>
      <c r="BR17" s="282"/>
      <c r="BS17" s="282"/>
      <c r="BT17" s="282"/>
      <c r="BU17" s="282"/>
      <c r="BV17" s="282"/>
      <c r="BW17" s="282"/>
      <c r="BX17" s="282"/>
      <c r="BY17" s="282"/>
      <c r="BZ17" s="282"/>
      <c r="CA17" s="282"/>
      <c r="CB17" s="282"/>
      <c r="CC17" s="282"/>
      <c r="CD17" s="282"/>
      <c r="CE17" s="282"/>
      <c r="CF17" s="282"/>
      <c r="CG17" s="282"/>
      <c r="CH17" s="282"/>
      <c r="CI17" s="282"/>
      <c r="CJ17" s="282"/>
      <c r="CK17" s="282"/>
      <c r="CL17" s="282"/>
      <c r="CM17" s="282"/>
      <c r="CN17" s="282"/>
      <c r="CO17" s="282"/>
      <c r="CP17" s="282"/>
      <c r="CQ17" s="282"/>
      <c r="CR17" s="282"/>
      <c r="CS17" s="282"/>
      <c r="CT17" s="282"/>
      <c r="CU17" s="282"/>
      <c r="CV17" s="282"/>
      <c r="CW17" s="282"/>
      <c r="CX17" s="282"/>
      <c r="CY17" s="282"/>
      <c r="CZ17" s="282"/>
      <c r="DA17" s="282"/>
      <c r="DB17" s="282"/>
      <c r="DC17" s="282"/>
      <c r="DD17" s="282"/>
      <c r="DE17" s="282"/>
      <c r="DF17" s="282"/>
      <c r="DG17" s="282"/>
      <c r="DH17" s="282"/>
      <c r="DI17" s="282"/>
      <c r="DJ17" s="282"/>
      <c r="DK17" s="282"/>
      <c r="DL17" s="282"/>
      <c r="DM17" s="282"/>
      <c r="DN17" s="282"/>
      <c r="DO17" s="282"/>
      <c r="DP17" s="282"/>
      <c r="DQ17" s="282"/>
      <c r="DR17" s="282"/>
      <c r="DS17" s="282"/>
      <c r="DT17" s="282"/>
      <c r="DU17" s="282"/>
      <c r="DV17" s="282"/>
      <c r="DW17" s="282"/>
      <c r="DX17" s="282"/>
      <c r="DY17" s="282"/>
      <c r="DZ17" s="282"/>
      <c r="EA17" s="282"/>
      <c r="EB17" s="282"/>
      <c r="EC17" s="282"/>
      <c r="ED17" s="282"/>
      <c r="EE17" s="282"/>
      <c r="EF17" s="282"/>
      <c r="EG17" s="282"/>
      <c r="EH17" s="282"/>
      <c r="EI17" s="282"/>
      <c r="EJ17" s="282"/>
      <c r="EK17" s="282"/>
      <c r="EL17" s="282"/>
      <c r="EM17" s="282"/>
      <c r="EN17" s="282"/>
      <c r="EO17" s="282"/>
      <c r="EP17" s="282"/>
      <c r="EQ17" s="282"/>
      <c r="ER17" s="282"/>
      <c r="ES17" s="282"/>
      <c r="ET17" s="282"/>
      <c r="EU17" s="282"/>
      <c r="EV17" s="282"/>
      <c r="EW17" s="282"/>
      <c r="EX17" s="282"/>
      <c r="EY17" s="282"/>
      <c r="EZ17" s="282"/>
      <c r="FA17" s="282"/>
      <c r="FB17" s="282"/>
      <c r="FC17" s="282"/>
      <c r="FD17" s="282"/>
      <c r="FE17" s="282"/>
      <c r="FF17" s="282"/>
      <c r="FG17" s="282"/>
      <c r="FH17" s="282"/>
      <c r="FI17" s="282"/>
      <c r="FJ17" s="282"/>
      <c r="FK17" s="282"/>
      <c r="FL17" s="282"/>
      <c r="FM17" s="282"/>
      <c r="FN17" s="282"/>
      <c r="FO17" s="282"/>
      <c r="FP17" s="282"/>
      <c r="FQ17" s="282"/>
      <c r="FR17" s="282"/>
      <c r="FS17" s="282"/>
      <c r="FT17" s="282"/>
      <c r="FU17" s="282"/>
      <c r="FV17" s="282"/>
      <c r="FW17" s="282"/>
      <c r="FX17" s="282"/>
      <c r="FY17" s="282"/>
      <c r="FZ17" s="282"/>
      <c r="GA17" s="282"/>
      <c r="GB17" s="282"/>
      <c r="GC17" s="282"/>
      <c r="GD17" s="282"/>
      <c r="GE17" s="282"/>
      <c r="GF17" s="282"/>
      <c r="GG17" s="282"/>
      <c r="GH17" s="282"/>
      <c r="GI17" s="282"/>
      <c r="GJ17" s="282"/>
      <c r="GK17" s="282"/>
      <c r="GL17" s="282"/>
      <c r="GM17" s="282"/>
      <c r="GN17" s="282"/>
      <c r="GO17" s="282"/>
      <c r="GP17" s="282"/>
      <c r="GQ17" s="282"/>
      <c r="GR17" s="282"/>
      <c r="GS17" s="282"/>
      <c r="GT17" s="282"/>
      <c r="GU17" s="282"/>
      <c r="GV17" s="282"/>
      <c r="GW17" s="282"/>
      <c r="GX17" s="282"/>
      <c r="GY17" s="282"/>
      <c r="GZ17" s="282"/>
      <c r="HA17" s="282"/>
      <c r="HB17" s="282"/>
      <c r="HC17" s="282"/>
      <c r="HD17" s="282"/>
      <c r="HE17" s="282"/>
      <c r="HF17" s="282"/>
      <c r="HG17" s="282"/>
      <c r="HH17" s="282"/>
      <c r="HI17" s="282"/>
      <c r="HJ17" s="282"/>
      <c r="HK17" s="282"/>
      <c r="HL17" s="282"/>
      <c r="HM17" s="282"/>
      <c r="HN17" s="282"/>
      <c r="HO17" s="282"/>
      <c r="HP17" s="282"/>
      <c r="HQ17" s="282"/>
      <c r="HR17" s="282"/>
      <c r="HS17" s="282"/>
      <c r="HT17" s="282"/>
      <c r="HU17" s="282"/>
      <c r="HV17" s="282"/>
      <c r="HW17" s="282"/>
      <c r="HX17" s="282"/>
      <c r="HY17" s="282"/>
      <c r="HZ17" s="282"/>
      <c r="IA17" s="282"/>
      <c r="IB17" s="282"/>
      <c r="IC17" s="282"/>
      <c r="ID17" s="282"/>
      <c r="IE17" s="282"/>
      <c r="IF17" s="282"/>
      <c r="IG17" s="282"/>
      <c r="IH17" s="282"/>
      <c r="II17" s="282"/>
      <c r="IJ17" s="282"/>
      <c r="IK17" s="282"/>
      <c r="IL17" s="282"/>
      <c r="IM17" s="282"/>
      <c r="IN17" s="282"/>
      <c r="IO17" s="282"/>
      <c r="IP17" s="282"/>
      <c r="IQ17" s="282"/>
      <c r="IR17" s="282"/>
      <c r="IS17" s="282"/>
      <c r="IT17" s="282"/>
      <c r="IU17" s="282"/>
      <c r="IV17" s="282"/>
    </row>
    <row r="18" spans="1:256" s="689" customFormat="1" x14ac:dyDescent="0.45">
      <c r="A18" s="282"/>
      <c r="B18" s="282"/>
      <c r="C18" s="282"/>
      <c r="D18" s="282"/>
      <c r="E18" s="282"/>
      <c r="F18" s="282"/>
      <c r="G18" s="282"/>
      <c r="H18" s="282"/>
      <c r="I18" s="282"/>
      <c r="J18" s="282"/>
      <c r="K18" s="282"/>
      <c r="L18" s="282"/>
      <c r="M18" s="282"/>
      <c r="N18" s="282"/>
      <c r="O18" s="282"/>
      <c r="P18" s="282"/>
      <c r="Q18" s="282"/>
      <c r="R18" s="282"/>
      <c r="S18" s="282"/>
      <c r="T18" s="282"/>
      <c r="U18" s="282"/>
      <c r="V18" s="282"/>
      <c r="W18" s="282"/>
      <c r="X18" s="282"/>
      <c r="Y18" s="282"/>
      <c r="Z18" s="282"/>
      <c r="AA18" s="282"/>
      <c r="AB18" s="282"/>
      <c r="AC18" s="282"/>
      <c r="AD18" s="282"/>
      <c r="AE18" s="282"/>
      <c r="AF18" s="282"/>
      <c r="AG18" s="282"/>
      <c r="AH18" s="282"/>
      <c r="AI18" s="282"/>
      <c r="AJ18" s="282"/>
      <c r="AK18" s="282"/>
      <c r="AL18" s="282"/>
      <c r="AM18" s="282"/>
      <c r="AN18" s="282"/>
      <c r="AO18" s="282"/>
      <c r="AP18" s="282"/>
      <c r="AQ18" s="282"/>
      <c r="AR18" s="282"/>
      <c r="AS18" s="282"/>
      <c r="AT18" s="282"/>
      <c r="AU18" s="282"/>
      <c r="AV18" s="282"/>
      <c r="AW18" s="282"/>
      <c r="AX18" s="282"/>
      <c r="AY18" s="282"/>
      <c r="AZ18" s="282"/>
      <c r="BA18" s="282"/>
      <c r="BB18" s="282"/>
      <c r="BC18" s="282"/>
      <c r="BD18" s="282"/>
      <c r="BE18" s="282"/>
      <c r="BF18" s="282"/>
      <c r="BG18" s="282"/>
      <c r="BH18" s="282"/>
      <c r="BI18" s="282"/>
      <c r="BJ18" s="282"/>
      <c r="BK18" s="282"/>
      <c r="BL18" s="282"/>
      <c r="BM18" s="282"/>
      <c r="BN18" s="282"/>
      <c r="BO18" s="282"/>
      <c r="BP18" s="282"/>
      <c r="BQ18" s="282"/>
      <c r="BR18" s="282"/>
      <c r="BS18" s="282"/>
      <c r="BT18" s="282"/>
      <c r="BU18" s="282"/>
      <c r="BV18" s="282"/>
      <c r="BW18" s="282"/>
      <c r="BX18" s="282"/>
      <c r="BY18" s="282"/>
      <c r="BZ18" s="282"/>
      <c r="CA18" s="282"/>
      <c r="CB18" s="282"/>
      <c r="CC18" s="282"/>
      <c r="CD18" s="282"/>
      <c r="CE18" s="282"/>
      <c r="CF18" s="282"/>
      <c r="CG18" s="282"/>
      <c r="CH18" s="282"/>
      <c r="CI18" s="282"/>
      <c r="CJ18" s="282"/>
      <c r="CK18" s="282"/>
      <c r="CL18" s="282"/>
      <c r="CM18" s="282"/>
      <c r="CN18" s="282"/>
      <c r="CO18" s="282"/>
      <c r="CP18" s="282"/>
      <c r="CQ18" s="282"/>
      <c r="CR18" s="282"/>
      <c r="CS18" s="282"/>
      <c r="CT18" s="282"/>
      <c r="CU18" s="282"/>
      <c r="CV18" s="282"/>
      <c r="CW18" s="282"/>
      <c r="CX18" s="282"/>
      <c r="CY18" s="282"/>
      <c r="CZ18" s="282"/>
      <c r="DA18" s="282"/>
      <c r="DB18" s="282"/>
      <c r="DC18" s="282"/>
      <c r="DD18" s="282"/>
      <c r="DE18" s="282"/>
      <c r="DF18" s="282"/>
      <c r="DG18" s="282"/>
      <c r="DH18" s="282"/>
      <c r="DI18" s="282"/>
      <c r="DJ18" s="282"/>
      <c r="DK18" s="282"/>
      <c r="DL18" s="282"/>
      <c r="DM18" s="282"/>
      <c r="DN18" s="282"/>
      <c r="DO18" s="282"/>
      <c r="DP18" s="282"/>
      <c r="DQ18" s="282"/>
      <c r="DR18" s="282"/>
      <c r="DS18" s="282"/>
      <c r="DT18" s="282"/>
      <c r="DU18" s="282"/>
      <c r="DV18" s="282"/>
      <c r="DW18" s="282"/>
      <c r="DX18" s="282"/>
      <c r="DY18" s="282"/>
      <c r="DZ18" s="282"/>
      <c r="EA18" s="282"/>
      <c r="EB18" s="282"/>
      <c r="EC18" s="282"/>
      <c r="ED18" s="282"/>
      <c r="EE18" s="282"/>
      <c r="EF18" s="282"/>
      <c r="EG18" s="282"/>
      <c r="EH18" s="282"/>
      <c r="EI18" s="282"/>
      <c r="EJ18" s="282"/>
      <c r="EK18" s="282"/>
      <c r="EL18" s="282"/>
      <c r="EM18" s="282"/>
      <c r="EN18" s="282"/>
      <c r="EO18" s="282"/>
      <c r="EP18" s="282"/>
      <c r="EQ18" s="282"/>
      <c r="ER18" s="282"/>
      <c r="ES18" s="282"/>
      <c r="ET18" s="282"/>
      <c r="EU18" s="282"/>
      <c r="EV18" s="282"/>
      <c r="EW18" s="282"/>
      <c r="EX18" s="282"/>
      <c r="EY18" s="282"/>
      <c r="EZ18" s="282"/>
      <c r="FA18" s="282"/>
      <c r="FB18" s="282"/>
      <c r="FC18" s="282"/>
      <c r="FD18" s="282"/>
      <c r="FE18" s="282"/>
      <c r="FF18" s="282"/>
      <c r="FG18" s="282"/>
      <c r="FH18" s="282"/>
      <c r="FI18" s="282"/>
      <c r="FJ18" s="282"/>
      <c r="FK18" s="282"/>
      <c r="FL18" s="282"/>
      <c r="FM18" s="282"/>
      <c r="FN18" s="282"/>
      <c r="FO18" s="282"/>
      <c r="FP18" s="282"/>
      <c r="FQ18" s="282"/>
      <c r="FR18" s="282"/>
      <c r="FS18" s="282"/>
      <c r="FT18" s="282"/>
      <c r="FU18" s="282"/>
      <c r="FV18" s="282"/>
      <c r="FW18" s="282"/>
      <c r="FX18" s="282"/>
      <c r="FY18" s="282"/>
      <c r="FZ18" s="282"/>
      <c r="GA18" s="282"/>
      <c r="GB18" s="282"/>
      <c r="GC18" s="282"/>
      <c r="GD18" s="282"/>
      <c r="GE18" s="282"/>
      <c r="GF18" s="282"/>
      <c r="GG18" s="282"/>
      <c r="GH18" s="282"/>
      <c r="GI18" s="282"/>
      <c r="GJ18" s="282"/>
      <c r="GK18" s="282"/>
      <c r="GL18" s="282"/>
      <c r="GM18" s="282"/>
      <c r="GN18" s="282"/>
      <c r="GO18" s="282"/>
      <c r="GP18" s="282"/>
      <c r="GQ18" s="282"/>
      <c r="GR18" s="282"/>
      <c r="GS18" s="282"/>
      <c r="GT18" s="282"/>
      <c r="GU18" s="282"/>
      <c r="GV18" s="282"/>
      <c r="GW18" s="282"/>
      <c r="GX18" s="282"/>
      <c r="GY18" s="282"/>
      <c r="GZ18" s="282"/>
      <c r="HA18" s="282"/>
      <c r="HB18" s="282"/>
      <c r="HC18" s="282"/>
      <c r="HD18" s="282"/>
      <c r="HE18" s="282"/>
      <c r="HF18" s="282"/>
      <c r="HG18" s="282"/>
      <c r="HH18" s="282"/>
      <c r="HI18" s="282"/>
      <c r="HJ18" s="282"/>
      <c r="HK18" s="282"/>
      <c r="HL18" s="282"/>
      <c r="HM18" s="282"/>
      <c r="HN18" s="282"/>
      <c r="HO18" s="282"/>
      <c r="HP18" s="282"/>
      <c r="HQ18" s="282"/>
      <c r="HR18" s="282"/>
      <c r="HS18" s="282"/>
      <c r="HT18" s="282"/>
      <c r="HU18" s="282"/>
      <c r="HV18" s="282"/>
      <c r="HW18" s="282"/>
      <c r="HX18" s="282"/>
      <c r="HY18" s="282"/>
      <c r="HZ18" s="282"/>
      <c r="IA18" s="282"/>
      <c r="IB18" s="282"/>
      <c r="IC18" s="282"/>
      <c r="ID18" s="282"/>
      <c r="IE18" s="282"/>
      <c r="IF18" s="282"/>
      <c r="IG18" s="282"/>
      <c r="IH18" s="282"/>
      <c r="II18" s="282"/>
      <c r="IJ18" s="282"/>
      <c r="IK18" s="282"/>
      <c r="IL18" s="282"/>
      <c r="IM18" s="282"/>
      <c r="IN18" s="282"/>
      <c r="IO18" s="282"/>
      <c r="IP18" s="282"/>
      <c r="IQ18" s="282"/>
      <c r="IR18" s="282"/>
      <c r="IS18" s="282"/>
      <c r="IT18" s="282"/>
      <c r="IU18" s="282"/>
      <c r="IV18" s="282"/>
    </row>
  </sheetData>
  <sheetProtection password="CC7D" sheet="1" objects="1" scenarios="1"/>
  <pageMargins left="0.7" right="0.7" top="0.78740157499999996" bottom="0.78740157499999996" header="0.3" footer="0.3"/>
  <pageSetup paperSize="9" scale="8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99Temp"/>
  <dimension ref="A1"/>
  <sheetViews>
    <sheetView workbookViewId="0">
      <selection activeCell="K37" sqref="K37"/>
    </sheetView>
  </sheetViews>
  <sheetFormatPr baseColWidth="10" defaultColWidth="11.46484375" defaultRowHeight="14.25" x14ac:dyDescent="0.45"/>
  <cols>
    <col min="1" max="16384" width="11.46484375" style="282"/>
  </cols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02Mat">
    <tabColor theme="6" tint="0.39997558519241921"/>
    <pageSetUpPr fitToPage="1"/>
  </sheetPr>
  <dimension ref="B1:AI47"/>
  <sheetViews>
    <sheetView showGridLines="0" showZeros="0" topLeftCell="H1" zoomScaleNormal="100" zoomScalePageLayoutView="70" workbookViewId="0">
      <selection activeCell="P13" sqref="P13"/>
    </sheetView>
  </sheetViews>
  <sheetFormatPr baseColWidth="10" defaultColWidth="11.46484375" defaultRowHeight="13.5" outlineLevelCol="1" x14ac:dyDescent="0.35"/>
  <cols>
    <col min="1" max="1" width="1.46484375" style="101" customWidth="1"/>
    <col min="2" max="2" width="5.796875" style="101" customWidth="1"/>
    <col min="3" max="3" width="25.796875" style="101" customWidth="1"/>
    <col min="4" max="4" width="20.796875" style="101" customWidth="1"/>
    <col min="5" max="6" width="10.796875" style="101" customWidth="1"/>
    <col min="7" max="7" width="8.19921875" style="101" customWidth="1"/>
    <col min="8" max="8" width="5.796875" style="101" customWidth="1"/>
    <col min="9" max="9" width="10.796875" style="101" customWidth="1"/>
    <col min="10" max="10" width="5.796875" style="101" customWidth="1"/>
    <col min="11" max="14" width="10.796875" style="101" customWidth="1"/>
    <col min="15" max="15" width="8.19921875" style="101" customWidth="1"/>
    <col min="16" max="19" width="10.796875" style="101" customWidth="1"/>
    <col min="20" max="20" width="5.796875" style="101" customWidth="1"/>
    <col min="21" max="21" width="10.796875" style="101" customWidth="1"/>
    <col min="22" max="22" width="5.796875" style="101" customWidth="1"/>
    <col min="23" max="23" width="10.796875" style="101" customWidth="1"/>
    <col min="24" max="24" width="2.796875" style="101" customWidth="1"/>
    <col min="25" max="25" width="24.53125" style="302" customWidth="1" outlineLevel="1"/>
    <col min="26" max="28" width="10.796875" style="101" customWidth="1" outlineLevel="1"/>
    <col min="29" max="29" width="1.53125" style="605" customWidth="1"/>
    <col min="30" max="33" width="10.796875" style="101" hidden="1" customWidth="1"/>
    <col min="34" max="16384" width="11.46484375" style="101"/>
  </cols>
  <sheetData>
    <row r="1" spans="2:35" s="305" customFormat="1" ht="7.5" customHeight="1" thickBot="1" x14ac:dyDescent="0.4">
      <c r="B1" s="305">
        <v>5</v>
      </c>
      <c r="C1" s="305">
        <v>12</v>
      </c>
      <c r="D1" s="305">
        <v>20</v>
      </c>
      <c r="E1" s="305">
        <v>10</v>
      </c>
      <c r="F1" s="305">
        <v>10</v>
      </c>
      <c r="G1" s="305">
        <v>7.5</v>
      </c>
      <c r="H1" s="305">
        <v>5</v>
      </c>
      <c r="I1" s="305">
        <v>10</v>
      </c>
      <c r="J1" s="305">
        <v>5</v>
      </c>
      <c r="K1" s="305">
        <v>10</v>
      </c>
      <c r="L1" s="305">
        <v>10</v>
      </c>
      <c r="M1" s="305">
        <v>10</v>
      </c>
      <c r="N1" s="305">
        <v>10</v>
      </c>
      <c r="O1" s="305">
        <v>7.5</v>
      </c>
      <c r="P1" s="305">
        <v>10</v>
      </c>
      <c r="Q1" s="305">
        <v>10</v>
      </c>
      <c r="R1" s="306">
        <v>10</v>
      </c>
      <c r="S1" s="306">
        <v>10</v>
      </c>
      <c r="T1" s="306">
        <v>5</v>
      </c>
      <c r="U1" s="306">
        <v>10</v>
      </c>
      <c r="V1" s="305">
        <v>5</v>
      </c>
      <c r="W1" s="305">
        <v>10</v>
      </c>
      <c r="X1" s="305">
        <v>2</v>
      </c>
      <c r="Y1" s="541">
        <v>10</v>
      </c>
      <c r="Z1" s="305">
        <v>10</v>
      </c>
      <c r="AA1" s="305">
        <v>10</v>
      </c>
      <c r="AB1" s="305">
        <v>10</v>
      </c>
      <c r="AC1" s="604">
        <v>2</v>
      </c>
      <c r="AD1" s="305">
        <v>10</v>
      </c>
      <c r="AE1" s="305">
        <v>10</v>
      </c>
      <c r="AF1" s="305">
        <v>10</v>
      </c>
      <c r="AG1" s="305">
        <v>10</v>
      </c>
      <c r="AI1" s="305">
        <f>SUM(D1:W1)</f>
        <v>185</v>
      </c>
    </row>
    <row r="2" spans="2:35" s="69" customFormat="1" ht="26.25" customHeight="1" x14ac:dyDescent="0.6">
      <c r="B2" s="61" t="s">
        <v>1</v>
      </c>
      <c r="C2" s="70"/>
      <c r="D2" s="64"/>
      <c r="E2" s="62"/>
      <c r="F2" s="62"/>
      <c r="G2" s="61" t="s">
        <v>2</v>
      </c>
      <c r="H2" s="62"/>
      <c r="I2" s="62"/>
      <c r="J2" s="62"/>
      <c r="K2" s="62"/>
      <c r="L2" s="62"/>
      <c r="M2" s="62"/>
      <c r="N2" s="62"/>
      <c r="O2" s="62"/>
      <c r="P2" s="62"/>
      <c r="Q2" s="63" t="s">
        <v>647</v>
      </c>
      <c r="R2" s="60"/>
      <c r="S2" s="75"/>
      <c r="U2" s="686" t="s">
        <v>944</v>
      </c>
      <c r="V2" s="62"/>
      <c r="W2" s="77"/>
      <c r="Y2" s="301"/>
      <c r="AC2" s="604"/>
    </row>
    <row r="3" spans="2:35" s="69" customFormat="1" ht="17.25" x14ac:dyDescent="0.45">
      <c r="B3" s="78" t="s">
        <v>496</v>
      </c>
      <c r="C3" s="71"/>
      <c r="D3" s="79"/>
      <c r="E3" s="80"/>
      <c r="F3" s="80"/>
      <c r="G3" s="81" t="s">
        <v>939</v>
      </c>
      <c r="H3" s="82"/>
      <c r="I3" s="82"/>
      <c r="J3" s="80"/>
      <c r="K3" s="80"/>
      <c r="L3" s="80"/>
      <c r="M3" s="82"/>
      <c r="N3" s="82"/>
      <c r="O3" s="82"/>
      <c r="P3" s="82"/>
      <c r="Q3" s="717" t="s">
        <v>962</v>
      </c>
      <c r="R3" s="76"/>
      <c r="S3" s="82"/>
      <c r="T3" s="82"/>
      <c r="U3" s="82"/>
      <c r="V3" s="82"/>
      <c r="W3" s="83"/>
      <c r="Y3" s="301"/>
      <c r="AC3" s="604"/>
    </row>
    <row r="4" spans="2:35" s="69" customFormat="1" ht="13.9" thickBot="1" x14ac:dyDescent="0.4">
      <c r="B4" s="932" t="str">
        <f>+Zusammenfassung!B4</f>
        <v>QAF Version 8.5_01_01 © BMW AG</v>
      </c>
      <c r="C4" s="933"/>
      <c r="D4" s="353"/>
      <c r="E4" s="84"/>
      <c r="F4" s="84"/>
      <c r="G4" s="946" t="s">
        <v>938</v>
      </c>
      <c r="H4" s="947"/>
      <c r="I4" s="947"/>
      <c r="J4" s="84"/>
      <c r="K4" s="84"/>
      <c r="L4" s="84"/>
      <c r="M4" s="85"/>
      <c r="N4" s="85"/>
      <c r="O4" s="85"/>
      <c r="P4" s="85"/>
      <c r="R4" s="85"/>
      <c r="S4" s="85"/>
      <c r="T4" s="85"/>
      <c r="U4" s="85"/>
      <c r="V4" s="85"/>
      <c r="W4" s="86"/>
      <c r="Y4" s="301"/>
      <c r="AC4" s="604"/>
    </row>
    <row r="5" spans="2:35" s="69" customFormat="1" ht="17.100000000000001" customHeight="1" x14ac:dyDescent="0.35">
      <c r="B5" s="87" t="s">
        <v>53</v>
      </c>
      <c r="C5" s="72"/>
      <c r="D5" s="934" t="str">
        <f>Zusammenfassung!$C5</f>
        <v>K. Weigand</v>
      </c>
      <c r="E5" s="935"/>
      <c r="F5" s="936"/>
      <c r="G5" s="87" t="s">
        <v>280</v>
      </c>
      <c r="H5" s="88"/>
      <c r="I5" s="88"/>
      <c r="J5" s="934" t="str">
        <f>Zusammenfassung!$I5</f>
        <v>ZF Peterlee</v>
      </c>
      <c r="K5" s="935"/>
      <c r="L5" s="935"/>
      <c r="M5" s="935"/>
      <c r="N5" s="935"/>
      <c r="O5" s="935"/>
      <c r="P5" s="89" t="s">
        <v>6</v>
      </c>
      <c r="Q5" s="90"/>
      <c r="R5" s="90"/>
      <c r="S5" s="948" t="str">
        <f>Zusammenfassung!$M5</f>
        <v>KAFAS4 MonoCam</v>
      </c>
      <c r="T5" s="935"/>
      <c r="U5" s="949"/>
      <c r="V5" s="935"/>
      <c r="W5" s="936"/>
      <c r="Y5" s="301"/>
      <c r="AC5" s="604"/>
    </row>
    <row r="6" spans="2:35" s="69" customFormat="1" ht="17.100000000000001" customHeight="1" x14ac:dyDescent="0.35">
      <c r="B6" s="91" t="s">
        <v>7</v>
      </c>
      <c r="C6" s="73"/>
      <c r="D6" s="937">
        <f>HYPERLINK(CONCATENATE("mailto:",Zusammenfassung!C6),Zusammenfassung!C6)</f>
        <v>0</v>
      </c>
      <c r="E6" s="938"/>
      <c r="F6" s="939"/>
      <c r="G6" s="92" t="s">
        <v>8</v>
      </c>
      <c r="H6" s="93"/>
      <c r="I6" s="93"/>
      <c r="J6" s="940">
        <f>Zusammenfassung!$I6</f>
        <v>0</v>
      </c>
      <c r="K6" s="941"/>
      <c r="L6" s="941"/>
      <c r="M6" s="941"/>
      <c r="N6" s="941"/>
      <c r="O6" s="941"/>
      <c r="P6" s="94" t="s">
        <v>9</v>
      </c>
      <c r="Q6" s="95"/>
      <c r="R6" s="95"/>
      <c r="S6" s="940">
        <f>Zusammenfassung!$M6</f>
        <v>0</v>
      </c>
      <c r="T6" s="941"/>
      <c r="U6" s="941"/>
      <c r="V6" s="941"/>
      <c r="W6" s="942"/>
      <c r="Y6" s="301"/>
      <c r="AC6" s="604"/>
    </row>
    <row r="7" spans="2:35" s="69" customFormat="1" ht="17.100000000000001" customHeight="1" x14ac:dyDescent="0.35">
      <c r="B7" s="91" t="s">
        <v>10</v>
      </c>
      <c r="C7" s="73"/>
      <c r="D7" s="940">
        <f>Zusammenfassung!$C7</f>
        <v>0</v>
      </c>
      <c r="E7" s="941"/>
      <c r="F7" s="942"/>
      <c r="G7" s="92" t="s">
        <v>11</v>
      </c>
      <c r="H7" s="93"/>
      <c r="I7" s="93"/>
      <c r="J7" s="940" t="str">
        <f>Zusammenfassung!$I7</f>
        <v>All</v>
      </c>
      <c r="K7" s="941"/>
      <c r="L7" s="941"/>
      <c r="M7" s="941"/>
      <c r="N7" s="941"/>
      <c r="O7" s="941"/>
      <c r="P7" s="94" t="s">
        <v>12</v>
      </c>
      <c r="Q7" s="95"/>
      <c r="R7" s="95"/>
      <c r="S7" s="940">
        <f>Zusammenfassung!$M7</f>
        <v>0</v>
      </c>
      <c r="T7" s="941"/>
      <c r="U7" s="941"/>
      <c r="V7" s="941"/>
      <c r="W7" s="942"/>
      <c r="Y7" s="304"/>
      <c r="AC7" s="604"/>
    </row>
    <row r="8" spans="2:35" s="69" customFormat="1" ht="17.100000000000001" customHeight="1" thickBot="1" x14ac:dyDescent="0.4">
      <c r="B8" s="96" t="s">
        <v>13</v>
      </c>
      <c r="C8" s="74"/>
      <c r="D8" s="943">
        <f>Zusammenfassung!$C8</f>
        <v>43782</v>
      </c>
      <c r="E8" s="944"/>
      <c r="F8" s="945"/>
      <c r="G8" s="97" t="s">
        <v>14</v>
      </c>
      <c r="H8" s="98"/>
      <c r="I8" s="98"/>
      <c r="J8" s="950">
        <f>Zusammenfassung!$I8</f>
        <v>0</v>
      </c>
      <c r="K8" s="944"/>
      <c r="L8" s="944"/>
      <c r="M8" s="944"/>
      <c r="N8" s="944"/>
      <c r="O8" s="944"/>
      <c r="P8" s="99" t="s">
        <v>15</v>
      </c>
      <c r="Q8" s="100"/>
      <c r="R8" s="100"/>
      <c r="S8" s="950" t="str">
        <f>Zusammenfassung!$M8</f>
        <v>Bewertung K. Weigand (Absprung aus PDF-QAF abgeleitet)</v>
      </c>
      <c r="T8" s="944"/>
      <c r="U8" s="944"/>
      <c r="V8" s="944"/>
      <c r="W8" s="945"/>
      <c r="Y8" s="301"/>
      <c r="AC8" s="604"/>
    </row>
    <row r="9" spans="2:35" ht="12" customHeight="1" thickBot="1" x14ac:dyDescent="0.4"/>
    <row r="10" spans="2:35" s="111" customFormat="1" ht="15" customHeight="1" thickBot="1" x14ac:dyDescent="0.5">
      <c r="B10" s="102"/>
      <c r="C10" s="103"/>
      <c r="D10" s="103" t="s">
        <v>309</v>
      </c>
      <c r="E10" s="103"/>
      <c r="F10" s="104"/>
      <c r="G10" s="105"/>
      <c r="H10" s="103" t="s">
        <v>342</v>
      </c>
      <c r="I10" s="106"/>
      <c r="J10" s="107"/>
      <c r="K10" s="108"/>
      <c r="L10" s="108"/>
      <c r="M10" s="108"/>
      <c r="N10" s="108"/>
      <c r="O10" s="103"/>
      <c r="P10" s="103" t="s">
        <v>37</v>
      </c>
      <c r="Q10" s="108"/>
      <c r="R10" s="106"/>
      <c r="S10" s="106"/>
      <c r="T10" s="106"/>
      <c r="U10" s="106"/>
      <c r="V10" s="109"/>
      <c r="W10" s="110"/>
      <c r="Y10" s="308" t="s">
        <v>341</v>
      </c>
      <c r="Z10" s="312"/>
      <c r="AA10" s="312"/>
      <c r="AB10" s="313"/>
      <c r="AC10" s="606"/>
      <c r="AD10" s="112" t="s">
        <v>37</v>
      </c>
      <c r="AE10" s="109"/>
      <c r="AF10" s="109"/>
      <c r="AG10" s="113"/>
    </row>
    <row r="11" spans="2:35" s="127" customFormat="1" ht="145.5" customHeight="1" thickBot="1" x14ac:dyDescent="0.5">
      <c r="B11" s="283" t="s">
        <v>414</v>
      </c>
      <c r="C11" s="181" t="s">
        <v>49</v>
      </c>
      <c r="D11" s="114" t="s">
        <v>394</v>
      </c>
      <c r="E11" s="115" t="s">
        <v>51</v>
      </c>
      <c r="F11" s="116" t="s">
        <v>50</v>
      </c>
      <c r="G11" s="284" t="s">
        <v>290</v>
      </c>
      <c r="H11" s="117" t="s">
        <v>837</v>
      </c>
      <c r="I11" s="699" t="s">
        <v>948</v>
      </c>
      <c r="J11" s="118" t="s">
        <v>836</v>
      </c>
      <c r="K11" s="119" t="s">
        <v>39</v>
      </c>
      <c r="L11" s="120" t="s">
        <v>338</v>
      </c>
      <c r="M11" s="114" t="s">
        <v>339</v>
      </c>
      <c r="N11" s="121" t="s">
        <v>340</v>
      </c>
      <c r="O11" s="122" t="s">
        <v>52</v>
      </c>
      <c r="P11" s="123" t="s">
        <v>384</v>
      </c>
      <c r="Q11" s="284" t="s">
        <v>317</v>
      </c>
      <c r="R11" s="114" t="s">
        <v>320</v>
      </c>
      <c r="S11" s="317" t="s">
        <v>949</v>
      </c>
      <c r="T11" s="125" t="s">
        <v>392</v>
      </c>
      <c r="U11" s="123" t="s">
        <v>318</v>
      </c>
      <c r="V11" s="126" t="s">
        <v>368</v>
      </c>
      <c r="W11" s="124" t="s">
        <v>401</v>
      </c>
      <c r="Y11" s="319" t="s">
        <v>849</v>
      </c>
      <c r="Z11" s="318" t="s">
        <v>848</v>
      </c>
      <c r="AA11" s="318" t="s">
        <v>850</v>
      </c>
      <c r="AB11" s="317" t="s">
        <v>851</v>
      </c>
      <c r="AC11" s="606"/>
      <c r="AD11" s="284" t="s">
        <v>335</v>
      </c>
      <c r="AE11" s="114" t="s">
        <v>336</v>
      </c>
      <c r="AF11" s="114" t="s">
        <v>337</v>
      </c>
      <c r="AG11" s="124" t="s">
        <v>321</v>
      </c>
    </row>
    <row r="12" spans="2:35" s="128" customFormat="1" ht="25.5" hidden="1" customHeight="1" thickBot="1" x14ac:dyDescent="0.5">
      <c r="B12" s="670"/>
      <c r="C12" s="671"/>
      <c r="D12" s="672"/>
      <c r="E12" s="671"/>
      <c r="F12" s="671"/>
      <c r="G12" s="673"/>
      <c r="H12" s="674"/>
      <c r="I12" s="675"/>
      <c r="J12" s="676"/>
      <c r="K12" s="677"/>
      <c r="L12" s="677"/>
      <c r="M12" s="677"/>
      <c r="N12" s="677"/>
      <c r="O12" s="678"/>
      <c r="P12" s="664">
        <f t="shared" ref="P12:P38" si="0">IF(G12=(Prämie),I12*K12,IF(G12=(Rohstoff_Risiko),(I12*K12+L12+M12+N12)*(1+O12)+(O12*AA12*Z12),(I12*K12+L12+M12+N12)*(1+O12)+(O12*AA12)))</f>
        <v>0</v>
      </c>
      <c r="Q12" s="679"/>
      <c r="R12" s="680"/>
      <c r="S12" s="675"/>
      <c r="T12" s="681"/>
      <c r="U12" s="654">
        <f t="shared" ref="U12:U38" si="1">IF(OR(G12=(Kaufteil), G12=(Rohstoff_Risiko)), P12*T12, IF(G12=(Prämie),P12*R12*T12,(P12*Q12-S12)*T12))</f>
        <v>0</v>
      </c>
      <c r="V12" s="682"/>
      <c r="W12" s="654">
        <f t="shared" ref="W12:W38" si="2">IF(G12=(Prämie), 0, U12*(1/(1-V12)-1))</f>
        <v>0</v>
      </c>
      <c r="Y12" s="525"/>
      <c r="Z12" s="526"/>
      <c r="AA12" s="519"/>
      <c r="AB12" s="398">
        <f>IF(AND(NOT(AC12="x"),Y12&lt;&gt;""), Z12*AA12, 0)</f>
        <v>0</v>
      </c>
      <c r="AC12" s="605" t="str">
        <f t="shared" ref="AC12:AC38" si="3">IF(Y12&lt;&gt;"",VLOOKUP(Y12,(Rohstoffe_Materialblatt),3,FALSE),"0")</f>
        <v>0</v>
      </c>
      <c r="AD12" s="530">
        <f>IF($G12="Prämie (kg)", 0, IF($G12="Stück (Kaufteil)",$L12*$T12, $L12*$Q12*$T12))</f>
        <v>0</v>
      </c>
      <c r="AE12" s="531">
        <f>IF($G12="Prämie (kg)", 0, IF($G12="Stück (Kaufteil)",$M12*$T12, $M12*$Q12*$T12))</f>
        <v>0</v>
      </c>
      <c r="AF12" s="531">
        <f>IF($G12="Prämie (kg)", 0, IF($G12="Stück (Kaufteil)",$N12*$T12, $N12*$Q12*$T12))</f>
        <v>0</v>
      </c>
      <c r="AG12" s="527">
        <f>IF($G12="Prämie (kg)", 0, IF($G12="Stück (Kaufteil)", (I12*K12+L12+M12+N12)*O12*T12, (I12*K12+L12+M12+N12)*O12*Q12*T12))</f>
        <v>0</v>
      </c>
    </row>
    <row r="13" spans="2:35" s="130" customFormat="1" ht="26.1" customHeight="1" x14ac:dyDescent="0.35">
      <c r="B13" s="655"/>
      <c r="C13" s="656"/>
      <c r="D13" s="656" t="s">
        <v>1045</v>
      </c>
      <c r="E13" s="657"/>
      <c r="F13" s="658"/>
      <c r="G13" s="659" t="s">
        <v>332</v>
      </c>
      <c r="H13" s="660" t="s">
        <v>65</v>
      </c>
      <c r="I13" s="658">
        <f>(93.58-L13)*(1-O13)</f>
        <v>90.47359999999999</v>
      </c>
      <c r="J13" s="661" t="s">
        <v>65</v>
      </c>
      <c r="K13" s="662">
        <v>1</v>
      </c>
      <c r="L13" s="662">
        <v>1.26</v>
      </c>
      <c r="M13" s="662"/>
      <c r="N13" s="662"/>
      <c r="O13" s="663">
        <v>0.02</v>
      </c>
      <c r="P13" s="664">
        <f t="shared" si="0"/>
        <v>93.568271999999993</v>
      </c>
      <c r="Q13" s="665"/>
      <c r="R13" s="666"/>
      <c r="S13" s="667"/>
      <c r="T13" s="668">
        <v>1</v>
      </c>
      <c r="U13" s="398">
        <f t="shared" si="1"/>
        <v>93.568271999999993</v>
      </c>
      <c r="V13" s="669">
        <v>1.2E-2</v>
      </c>
      <c r="W13" s="398">
        <f t="shared" si="2"/>
        <v>1.1364567449392715</v>
      </c>
      <c r="X13" s="570"/>
      <c r="Y13" s="571"/>
      <c r="Z13" s="594"/>
      <c r="AA13" s="409"/>
      <c r="AB13" s="398">
        <f t="shared" ref="AB13:AB38" si="4">IF(AND(NOT(AC13="x"),Y13&lt;&gt;""), Z13*AA13, 0)</f>
        <v>0</v>
      </c>
      <c r="AC13" s="605" t="str">
        <f t="shared" si="3"/>
        <v>0</v>
      </c>
      <c r="AD13" s="418">
        <f t="shared" ref="AD13:AD38" si="5">IF($G13=(Prämie), 0, IF($G13=(Kaufteil),$L13*$T13,IF($G13=(Rohstoff_Risiko),$L13*$T13, $L13*$Q13*$T13)))</f>
        <v>1.26</v>
      </c>
      <c r="AE13" s="419">
        <f t="shared" ref="AE13:AE38" si="6">IF($G13=(Prämie), 0, IF($G13=(Kaufteil),$M13*$T13,IF($G13=(Rohstoff_Risiko),$M13*$T13,$M13*$Q13*$T13)))</f>
        <v>0</v>
      </c>
      <c r="AF13" s="419">
        <f t="shared" ref="AF13:AF38" si="7">IF($G13=(Prämie), 0, IF($G13=(Kaufteil),$N13*$T13, IF($G13=(Rohstoff_Risiko),$N13*$T13, $N13*$Q13*$T13)))</f>
        <v>0</v>
      </c>
      <c r="AG13" s="397">
        <f t="shared" ref="AG13:AG38" si="8">IF($G13=(Prämie), 0, IF($G13=(Kaufteil), (I13*K13+L13+M13+N13)*O13*T13,IF($G13=(Rohstoff_Risiko), (I13*K13+L13+M13+N13)*O13*T13,(I13*K13+L13+M13+N13)*O13*Q13*T13)))</f>
        <v>1.8346719999999999</v>
      </c>
    </row>
    <row r="14" spans="2:35" s="130" customFormat="1" ht="26.1" hidden="1" customHeight="1" x14ac:dyDescent="0.35">
      <c r="B14" s="387"/>
      <c r="C14" s="388"/>
      <c r="D14" s="388"/>
      <c r="E14" s="389"/>
      <c r="F14" s="392"/>
      <c r="G14" s="390"/>
      <c r="H14" s="391"/>
      <c r="I14" s="392"/>
      <c r="J14" s="393"/>
      <c r="K14" s="394"/>
      <c r="L14" s="394"/>
      <c r="M14" s="394"/>
      <c r="N14" s="394"/>
      <c r="O14" s="395"/>
      <c r="P14" s="664">
        <f t="shared" si="0"/>
        <v>0</v>
      </c>
      <c r="Q14" s="401"/>
      <c r="R14" s="402"/>
      <c r="S14" s="403"/>
      <c r="T14" s="404"/>
      <c r="U14" s="398">
        <f t="shared" si="1"/>
        <v>0</v>
      </c>
      <c r="V14" s="405"/>
      <c r="W14" s="398">
        <f t="shared" si="2"/>
        <v>0</v>
      </c>
      <c r="Y14" s="408"/>
      <c r="Z14" s="594"/>
      <c r="AA14" s="409"/>
      <c r="AB14" s="398">
        <f t="shared" si="4"/>
        <v>0</v>
      </c>
      <c r="AC14" s="605" t="str">
        <f t="shared" si="3"/>
        <v>0</v>
      </c>
      <c r="AD14" s="411">
        <f t="shared" si="5"/>
        <v>0</v>
      </c>
      <c r="AE14" s="412">
        <f t="shared" si="6"/>
        <v>0</v>
      </c>
      <c r="AF14" s="412">
        <f t="shared" si="7"/>
        <v>0</v>
      </c>
      <c r="AG14" s="410">
        <f t="shared" si="8"/>
        <v>0</v>
      </c>
    </row>
    <row r="15" spans="2:35" s="130" customFormat="1" ht="26.1" hidden="1" customHeight="1" x14ac:dyDescent="0.35">
      <c r="B15" s="387"/>
      <c r="C15" s="388"/>
      <c r="D15" s="388"/>
      <c r="E15" s="389"/>
      <c r="F15" s="392"/>
      <c r="G15" s="390"/>
      <c r="H15" s="391"/>
      <c r="I15" s="392"/>
      <c r="J15" s="393"/>
      <c r="K15" s="394"/>
      <c r="L15" s="394"/>
      <c r="M15" s="394"/>
      <c r="N15" s="394"/>
      <c r="O15" s="395"/>
      <c r="P15" s="664">
        <f t="shared" si="0"/>
        <v>0</v>
      </c>
      <c r="Q15" s="401"/>
      <c r="R15" s="402"/>
      <c r="S15" s="403"/>
      <c r="T15" s="404"/>
      <c r="U15" s="398">
        <f t="shared" si="1"/>
        <v>0</v>
      </c>
      <c r="V15" s="405"/>
      <c r="W15" s="398">
        <f t="shared" si="2"/>
        <v>0</v>
      </c>
      <c r="Y15" s="408"/>
      <c r="Z15" s="594"/>
      <c r="AA15" s="409"/>
      <c r="AB15" s="398">
        <f t="shared" si="4"/>
        <v>0</v>
      </c>
      <c r="AC15" s="605" t="str">
        <f t="shared" si="3"/>
        <v>0</v>
      </c>
      <c r="AD15" s="411">
        <f t="shared" si="5"/>
        <v>0</v>
      </c>
      <c r="AE15" s="412">
        <f t="shared" si="6"/>
        <v>0</v>
      </c>
      <c r="AF15" s="412">
        <f t="shared" si="7"/>
        <v>0</v>
      </c>
      <c r="AG15" s="410">
        <f t="shared" si="8"/>
        <v>0</v>
      </c>
    </row>
    <row r="16" spans="2:35" s="130" customFormat="1" ht="26.1" hidden="1" customHeight="1" x14ac:dyDescent="0.35">
      <c r="B16" s="387"/>
      <c r="C16" s="388"/>
      <c r="D16" s="388"/>
      <c r="E16" s="389"/>
      <c r="F16" s="392"/>
      <c r="G16" s="390"/>
      <c r="H16" s="391"/>
      <c r="I16" s="392"/>
      <c r="J16" s="393"/>
      <c r="K16" s="394"/>
      <c r="L16" s="394"/>
      <c r="M16" s="394"/>
      <c r="N16" s="394"/>
      <c r="O16" s="395"/>
      <c r="P16" s="664">
        <f t="shared" si="0"/>
        <v>0</v>
      </c>
      <c r="Q16" s="401"/>
      <c r="R16" s="402"/>
      <c r="S16" s="403"/>
      <c r="T16" s="404"/>
      <c r="U16" s="398">
        <f t="shared" si="1"/>
        <v>0</v>
      </c>
      <c r="V16" s="405"/>
      <c r="W16" s="398">
        <f t="shared" si="2"/>
        <v>0</v>
      </c>
      <c r="Y16" s="408"/>
      <c r="Z16" s="594"/>
      <c r="AA16" s="409"/>
      <c r="AB16" s="398">
        <f t="shared" si="4"/>
        <v>0</v>
      </c>
      <c r="AC16" s="605" t="str">
        <f t="shared" si="3"/>
        <v>0</v>
      </c>
      <c r="AD16" s="411">
        <f t="shared" si="5"/>
        <v>0</v>
      </c>
      <c r="AE16" s="412">
        <f t="shared" si="6"/>
        <v>0</v>
      </c>
      <c r="AF16" s="412">
        <f t="shared" si="7"/>
        <v>0</v>
      </c>
      <c r="AG16" s="410">
        <f t="shared" si="8"/>
        <v>0</v>
      </c>
    </row>
    <row r="17" spans="2:33" s="130" customFormat="1" ht="26.1" hidden="1" customHeight="1" x14ac:dyDescent="0.35">
      <c r="B17" s="387"/>
      <c r="C17" s="388"/>
      <c r="D17" s="388"/>
      <c r="E17" s="389"/>
      <c r="F17" s="392"/>
      <c r="G17" s="390"/>
      <c r="H17" s="660"/>
      <c r="I17" s="658"/>
      <c r="J17" s="661"/>
      <c r="K17" s="662"/>
      <c r="L17" s="662"/>
      <c r="M17" s="662"/>
      <c r="N17" s="662"/>
      <c r="O17" s="663"/>
      <c r="P17" s="664">
        <f t="shared" si="0"/>
        <v>0</v>
      </c>
      <c r="Q17" s="401"/>
      <c r="R17" s="404"/>
      <c r="S17" s="403"/>
      <c r="T17" s="404"/>
      <c r="U17" s="398">
        <f t="shared" si="1"/>
        <v>0</v>
      </c>
      <c r="V17" s="405"/>
      <c r="W17" s="398">
        <f t="shared" si="2"/>
        <v>0</v>
      </c>
      <c r="Y17" s="408"/>
      <c r="Z17" s="595"/>
      <c r="AA17" s="409"/>
      <c r="AB17" s="398">
        <f t="shared" si="4"/>
        <v>0</v>
      </c>
      <c r="AC17" s="605" t="str">
        <f t="shared" si="3"/>
        <v>0</v>
      </c>
      <c r="AD17" s="411">
        <f t="shared" si="5"/>
        <v>0</v>
      </c>
      <c r="AE17" s="412">
        <f t="shared" si="6"/>
        <v>0</v>
      </c>
      <c r="AF17" s="412">
        <f t="shared" si="7"/>
        <v>0</v>
      </c>
      <c r="AG17" s="410">
        <f t="shared" si="8"/>
        <v>0</v>
      </c>
    </row>
    <row r="18" spans="2:33" s="130" customFormat="1" ht="26.1" hidden="1" customHeight="1" x14ac:dyDescent="0.35">
      <c r="B18" s="387"/>
      <c r="C18" s="388"/>
      <c r="D18" s="388"/>
      <c r="E18" s="389"/>
      <c r="F18" s="392"/>
      <c r="G18" s="390"/>
      <c r="H18" s="391"/>
      <c r="I18" s="392"/>
      <c r="J18" s="393"/>
      <c r="K18" s="394"/>
      <c r="L18" s="394"/>
      <c r="M18" s="394"/>
      <c r="N18" s="394"/>
      <c r="O18" s="395"/>
      <c r="P18" s="664">
        <f t="shared" si="0"/>
        <v>0</v>
      </c>
      <c r="Q18" s="401"/>
      <c r="R18" s="404"/>
      <c r="S18" s="403"/>
      <c r="T18" s="404"/>
      <c r="U18" s="398">
        <f t="shared" si="1"/>
        <v>0</v>
      </c>
      <c r="V18" s="405"/>
      <c r="W18" s="398">
        <f t="shared" si="2"/>
        <v>0</v>
      </c>
      <c r="Y18" s="408"/>
      <c r="Z18" s="595"/>
      <c r="AA18" s="409"/>
      <c r="AB18" s="398">
        <f t="shared" si="4"/>
        <v>0</v>
      </c>
      <c r="AC18" s="605" t="str">
        <f t="shared" si="3"/>
        <v>0</v>
      </c>
      <c r="AD18" s="411">
        <f t="shared" si="5"/>
        <v>0</v>
      </c>
      <c r="AE18" s="412">
        <f t="shared" si="6"/>
        <v>0</v>
      </c>
      <c r="AF18" s="412">
        <f t="shared" si="7"/>
        <v>0</v>
      </c>
      <c r="AG18" s="410">
        <f t="shared" si="8"/>
        <v>0</v>
      </c>
    </row>
    <row r="19" spans="2:33" s="130" customFormat="1" ht="26.1" hidden="1" customHeight="1" x14ac:dyDescent="0.35">
      <c r="B19" s="387"/>
      <c r="C19" s="388"/>
      <c r="D19" s="388"/>
      <c r="E19" s="389"/>
      <c r="F19" s="392"/>
      <c r="G19" s="390"/>
      <c r="H19" s="391"/>
      <c r="I19" s="392"/>
      <c r="J19" s="393"/>
      <c r="K19" s="394"/>
      <c r="L19" s="394"/>
      <c r="M19" s="394"/>
      <c r="N19" s="394"/>
      <c r="O19" s="395"/>
      <c r="P19" s="664">
        <f t="shared" si="0"/>
        <v>0</v>
      </c>
      <c r="Q19" s="401"/>
      <c r="R19" s="404"/>
      <c r="S19" s="403"/>
      <c r="T19" s="404"/>
      <c r="U19" s="398">
        <f t="shared" si="1"/>
        <v>0</v>
      </c>
      <c r="V19" s="405"/>
      <c r="W19" s="398">
        <f t="shared" si="2"/>
        <v>0</v>
      </c>
      <c r="Y19" s="408"/>
      <c r="Z19" s="595"/>
      <c r="AA19" s="409"/>
      <c r="AB19" s="398">
        <f t="shared" si="4"/>
        <v>0</v>
      </c>
      <c r="AC19" s="605" t="str">
        <f t="shared" si="3"/>
        <v>0</v>
      </c>
      <c r="AD19" s="411">
        <f t="shared" si="5"/>
        <v>0</v>
      </c>
      <c r="AE19" s="412">
        <f t="shared" si="6"/>
        <v>0</v>
      </c>
      <c r="AF19" s="412">
        <f t="shared" si="7"/>
        <v>0</v>
      </c>
      <c r="AG19" s="410">
        <f t="shared" si="8"/>
        <v>0</v>
      </c>
    </row>
    <row r="20" spans="2:33" s="130" customFormat="1" ht="26.1" hidden="1" customHeight="1" x14ac:dyDescent="0.35">
      <c r="B20" s="387"/>
      <c r="C20" s="388"/>
      <c r="D20" s="388"/>
      <c r="E20" s="389"/>
      <c r="F20" s="389"/>
      <c r="G20" s="390"/>
      <c r="H20" s="391"/>
      <c r="I20" s="392"/>
      <c r="J20" s="393"/>
      <c r="K20" s="394"/>
      <c r="L20" s="394"/>
      <c r="M20" s="394"/>
      <c r="N20" s="394"/>
      <c r="O20" s="395"/>
      <c r="P20" s="664">
        <f t="shared" si="0"/>
        <v>0</v>
      </c>
      <c r="Q20" s="401"/>
      <c r="R20" s="404"/>
      <c r="S20" s="403"/>
      <c r="T20" s="404"/>
      <c r="U20" s="398">
        <f t="shared" si="1"/>
        <v>0</v>
      </c>
      <c r="V20" s="405"/>
      <c r="W20" s="398">
        <f t="shared" si="2"/>
        <v>0</v>
      </c>
      <c r="Y20" s="408"/>
      <c r="Z20" s="595"/>
      <c r="AA20" s="409"/>
      <c r="AB20" s="398">
        <f t="shared" si="4"/>
        <v>0</v>
      </c>
      <c r="AC20" s="605" t="str">
        <f t="shared" si="3"/>
        <v>0</v>
      </c>
      <c r="AD20" s="411">
        <f t="shared" si="5"/>
        <v>0</v>
      </c>
      <c r="AE20" s="412">
        <f t="shared" si="6"/>
        <v>0</v>
      </c>
      <c r="AF20" s="412">
        <f t="shared" si="7"/>
        <v>0</v>
      </c>
      <c r="AG20" s="410">
        <f t="shared" si="8"/>
        <v>0</v>
      </c>
    </row>
    <row r="21" spans="2:33" s="130" customFormat="1" ht="26.1" hidden="1" customHeight="1" x14ac:dyDescent="0.35">
      <c r="B21" s="387"/>
      <c r="C21" s="388"/>
      <c r="D21" s="388"/>
      <c r="E21" s="389"/>
      <c r="F21" s="389"/>
      <c r="G21" s="390"/>
      <c r="H21" s="391"/>
      <c r="I21" s="392"/>
      <c r="J21" s="393"/>
      <c r="K21" s="394"/>
      <c r="L21" s="394"/>
      <c r="M21" s="394"/>
      <c r="N21" s="394"/>
      <c r="O21" s="395"/>
      <c r="P21" s="664">
        <f t="shared" si="0"/>
        <v>0</v>
      </c>
      <c r="Q21" s="401"/>
      <c r="R21" s="404"/>
      <c r="S21" s="403"/>
      <c r="T21" s="404"/>
      <c r="U21" s="398">
        <f t="shared" si="1"/>
        <v>0</v>
      </c>
      <c r="V21" s="405"/>
      <c r="W21" s="398">
        <f t="shared" si="2"/>
        <v>0</v>
      </c>
      <c r="Y21" s="408"/>
      <c r="Z21" s="595"/>
      <c r="AA21" s="409"/>
      <c r="AB21" s="398">
        <f t="shared" si="4"/>
        <v>0</v>
      </c>
      <c r="AC21" s="605" t="str">
        <f t="shared" si="3"/>
        <v>0</v>
      </c>
      <c r="AD21" s="411">
        <f t="shared" si="5"/>
        <v>0</v>
      </c>
      <c r="AE21" s="412">
        <f t="shared" si="6"/>
        <v>0</v>
      </c>
      <c r="AF21" s="412">
        <f t="shared" si="7"/>
        <v>0</v>
      </c>
      <c r="AG21" s="410">
        <f t="shared" si="8"/>
        <v>0</v>
      </c>
    </row>
    <row r="22" spans="2:33" s="130" customFormat="1" ht="26.1" hidden="1" customHeight="1" x14ac:dyDescent="0.35">
      <c r="B22" s="387"/>
      <c r="C22" s="388"/>
      <c r="D22" s="396"/>
      <c r="E22" s="389"/>
      <c r="F22" s="389"/>
      <c r="G22" s="390"/>
      <c r="H22" s="391"/>
      <c r="I22" s="392"/>
      <c r="J22" s="393"/>
      <c r="K22" s="394"/>
      <c r="L22" s="394"/>
      <c r="M22" s="394"/>
      <c r="N22" s="394"/>
      <c r="O22" s="395"/>
      <c r="P22" s="664">
        <f t="shared" si="0"/>
        <v>0</v>
      </c>
      <c r="Q22" s="401"/>
      <c r="R22" s="404"/>
      <c r="S22" s="403"/>
      <c r="T22" s="404"/>
      <c r="U22" s="398">
        <f t="shared" si="1"/>
        <v>0</v>
      </c>
      <c r="V22" s="405"/>
      <c r="W22" s="398">
        <f t="shared" si="2"/>
        <v>0</v>
      </c>
      <c r="Y22" s="408"/>
      <c r="Z22" s="595"/>
      <c r="AA22" s="409"/>
      <c r="AB22" s="398">
        <f t="shared" si="4"/>
        <v>0</v>
      </c>
      <c r="AC22" s="605" t="str">
        <f t="shared" si="3"/>
        <v>0</v>
      </c>
      <c r="AD22" s="411">
        <f t="shared" si="5"/>
        <v>0</v>
      </c>
      <c r="AE22" s="412">
        <f t="shared" si="6"/>
        <v>0</v>
      </c>
      <c r="AF22" s="412">
        <f t="shared" si="7"/>
        <v>0</v>
      </c>
      <c r="AG22" s="410">
        <f t="shared" si="8"/>
        <v>0</v>
      </c>
    </row>
    <row r="23" spans="2:33" s="130" customFormat="1" ht="26.1" hidden="1" customHeight="1" x14ac:dyDescent="0.35">
      <c r="B23" s="387"/>
      <c r="C23" s="388"/>
      <c r="D23" s="396"/>
      <c r="E23" s="389"/>
      <c r="F23" s="389"/>
      <c r="G23" s="390"/>
      <c r="H23" s="391"/>
      <c r="I23" s="392"/>
      <c r="J23" s="393"/>
      <c r="K23" s="394"/>
      <c r="L23" s="394"/>
      <c r="M23" s="394"/>
      <c r="N23" s="394"/>
      <c r="O23" s="395"/>
      <c r="P23" s="664">
        <f t="shared" si="0"/>
        <v>0</v>
      </c>
      <c r="Q23" s="401"/>
      <c r="R23" s="404"/>
      <c r="S23" s="403"/>
      <c r="T23" s="404"/>
      <c r="U23" s="398">
        <f t="shared" si="1"/>
        <v>0</v>
      </c>
      <c r="V23" s="405"/>
      <c r="W23" s="398">
        <f t="shared" si="2"/>
        <v>0</v>
      </c>
      <c r="Y23" s="408"/>
      <c r="Z23" s="595"/>
      <c r="AA23" s="409"/>
      <c r="AB23" s="398">
        <f t="shared" si="4"/>
        <v>0</v>
      </c>
      <c r="AC23" s="605" t="str">
        <f t="shared" si="3"/>
        <v>0</v>
      </c>
      <c r="AD23" s="411">
        <f t="shared" si="5"/>
        <v>0</v>
      </c>
      <c r="AE23" s="412">
        <f t="shared" si="6"/>
        <v>0</v>
      </c>
      <c r="AF23" s="412">
        <f t="shared" si="7"/>
        <v>0</v>
      </c>
      <c r="AG23" s="410">
        <f t="shared" si="8"/>
        <v>0</v>
      </c>
    </row>
    <row r="24" spans="2:33" s="130" customFormat="1" ht="26.1" hidden="1" customHeight="1" x14ac:dyDescent="0.35">
      <c r="B24" s="387"/>
      <c r="C24" s="388"/>
      <c r="D24" s="396"/>
      <c r="E24" s="389"/>
      <c r="F24" s="389"/>
      <c r="G24" s="390"/>
      <c r="H24" s="391"/>
      <c r="I24" s="392"/>
      <c r="J24" s="393"/>
      <c r="K24" s="394"/>
      <c r="L24" s="394"/>
      <c r="M24" s="394"/>
      <c r="N24" s="394"/>
      <c r="O24" s="395"/>
      <c r="P24" s="664">
        <f t="shared" si="0"/>
        <v>0</v>
      </c>
      <c r="Q24" s="401"/>
      <c r="R24" s="404"/>
      <c r="S24" s="403"/>
      <c r="T24" s="404"/>
      <c r="U24" s="398">
        <f t="shared" si="1"/>
        <v>0</v>
      </c>
      <c r="V24" s="405"/>
      <c r="W24" s="398">
        <f t="shared" si="2"/>
        <v>0</v>
      </c>
      <c r="Y24" s="408"/>
      <c r="Z24" s="594"/>
      <c r="AA24" s="409"/>
      <c r="AB24" s="398">
        <f t="shared" si="4"/>
        <v>0</v>
      </c>
      <c r="AC24" s="605" t="str">
        <f t="shared" si="3"/>
        <v>0</v>
      </c>
      <c r="AD24" s="411">
        <f t="shared" si="5"/>
        <v>0</v>
      </c>
      <c r="AE24" s="412">
        <f t="shared" si="6"/>
        <v>0</v>
      </c>
      <c r="AF24" s="412">
        <f t="shared" si="7"/>
        <v>0</v>
      </c>
      <c r="AG24" s="410">
        <f t="shared" si="8"/>
        <v>0</v>
      </c>
    </row>
    <row r="25" spans="2:33" s="130" customFormat="1" ht="26.1" hidden="1" customHeight="1" x14ac:dyDescent="0.35">
      <c r="B25" s="387"/>
      <c r="C25" s="388"/>
      <c r="D25" s="388"/>
      <c r="E25" s="389"/>
      <c r="F25" s="389"/>
      <c r="G25" s="390"/>
      <c r="H25" s="391"/>
      <c r="I25" s="392"/>
      <c r="J25" s="393"/>
      <c r="K25" s="394"/>
      <c r="L25" s="394"/>
      <c r="M25" s="394"/>
      <c r="N25" s="394"/>
      <c r="O25" s="395"/>
      <c r="P25" s="664">
        <f t="shared" si="0"/>
        <v>0</v>
      </c>
      <c r="Q25" s="401"/>
      <c r="R25" s="404"/>
      <c r="S25" s="403"/>
      <c r="T25" s="404"/>
      <c r="U25" s="398">
        <f t="shared" si="1"/>
        <v>0</v>
      </c>
      <c r="V25" s="405"/>
      <c r="W25" s="398">
        <f t="shared" si="2"/>
        <v>0</v>
      </c>
      <c r="Y25" s="408"/>
      <c r="Z25" s="594"/>
      <c r="AA25" s="409"/>
      <c r="AB25" s="398">
        <f t="shared" si="4"/>
        <v>0</v>
      </c>
      <c r="AC25" s="605" t="str">
        <f t="shared" si="3"/>
        <v>0</v>
      </c>
      <c r="AD25" s="411">
        <f t="shared" si="5"/>
        <v>0</v>
      </c>
      <c r="AE25" s="412">
        <f t="shared" si="6"/>
        <v>0</v>
      </c>
      <c r="AF25" s="412">
        <f t="shared" si="7"/>
        <v>0</v>
      </c>
      <c r="AG25" s="410">
        <f t="shared" si="8"/>
        <v>0</v>
      </c>
    </row>
    <row r="26" spans="2:33" s="130" customFormat="1" ht="26.1" hidden="1" customHeight="1" x14ac:dyDescent="0.35">
      <c r="B26" s="387"/>
      <c r="C26" s="388"/>
      <c r="D26" s="388"/>
      <c r="E26" s="389"/>
      <c r="F26" s="389"/>
      <c r="G26" s="390"/>
      <c r="H26" s="391"/>
      <c r="I26" s="392"/>
      <c r="J26" s="393"/>
      <c r="K26" s="394"/>
      <c r="L26" s="394"/>
      <c r="M26" s="394"/>
      <c r="N26" s="394"/>
      <c r="O26" s="395"/>
      <c r="P26" s="664">
        <f t="shared" si="0"/>
        <v>0</v>
      </c>
      <c r="Q26" s="401"/>
      <c r="R26" s="402"/>
      <c r="S26" s="403"/>
      <c r="T26" s="404"/>
      <c r="U26" s="398">
        <f t="shared" si="1"/>
        <v>0</v>
      </c>
      <c r="V26" s="405"/>
      <c r="W26" s="398">
        <f t="shared" si="2"/>
        <v>0</v>
      </c>
      <c r="Y26" s="408"/>
      <c r="Z26" s="594"/>
      <c r="AA26" s="409"/>
      <c r="AB26" s="398">
        <f t="shared" si="4"/>
        <v>0</v>
      </c>
      <c r="AC26" s="605" t="str">
        <f t="shared" si="3"/>
        <v>0</v>
      </c>
      <c r="AD26" s="411">
        <f t="shared" si="5"/>
        <v>0</v>
      </c>
      <c r="AE26" s="412">
        <f t="shared" si="6"/>
        <v>0</v>
      </c>
      <c r="AF26" s="412">
        <f t="shared" si="7"/>
        <v>0</v>
      </c>
      <c r="AG26" s="410">
        <f t="shared" si="8"/>
        <v>0</v>
      </c>
    </row>
    <row r="27" spans="2:33" s="130" customFormat="1" ht="26.1" hidden="1" customHeight="1" x14ac:dyDescent="0.35">
      <c r="B27" s="387"/>
      <c r="C27" s="388"/>
      <c r="D27" s="388"/>
      <c r="E27" s="389"/>
      <c r="F27" s="389"/>
      <c r="G27" s="390"/>
      <c r="H27" s="391"/>
      <c r="I27" s="392"/>
      <c r="J27" s="393"/>
      <c r="K27" s="394"/>
      <c r="L27" s="394"/>
      <c r="M27" s="394"/>
      <c r="N27" s="394"/>
      <c r="O27" s="395"/>
      <c r="P27" s="664">
        <f t="shared" si="0"/>
        <v>0</v>
      </c>
      <c r="Q27" s="401"/>
      <c r="R27" s="402"/>
      <c r="S27" s="403"/>
      <c r="T27" s="404"/>
      <c r="U27" s="398">
        <f t="shared" si="1"/>
        <v>0</v>
      </c>
      <c r="V27" s="405"/>
      <c r="W27" s="398">
        <f t="shared" si="2"/>
        <v>0</v>
      </c>
      <c r="Y27" s="408"/>
      <c r="Z27" s="594"/>
      <c r="AA27" s="409"/>
      <c r="AB27" s="398">
        <f t="shared" si="4"/>
        <v>0</v>
      </c>
      <c r="AC27" s="605" t="str">
        <f t="shared" si="3"/>
        <v>0</v>
      </c>
      <c r="AD27" s="411">
        <f t="shared" si="5"/>
        <v>0</v>
      </c>
      <c r="AE27" s="412">
        <f t="shared" si="6"/>
        <v>0</v>
      </c>
      <c r="AF27" s="412">
        <f t="shared" si="7"/>
        <v>0</v>
      </c>
      <c r="AG27" s="410">
        <f t="shared" si="8"/>
        <v>0</v>
      </c>
    </row>
    <row r="28" spans="2:33" s="130" customFormat="1" ht="26.1" hidden="1" customHeight="1" x14ac:dyDescent="0.35">
      <c r="B28" s="387"/>
      <c r="C28" s="388"/>
      <c r="D28" s="388"/>
      <c r="E28" s="389"/>
      <c r="F28" s="389"/>
      <c r="G28" s="390"/>
      <c r="H28" s="391"/>
      <c r="I28" s="392"/>
      <c r="J28" s="393"/>
      <c r="K28" s="394"/>
      <c r="L28" s="394"/>
      <c r="M28" s="394"/>
      <c r="N28" s="394"/>
      <c r="O28" s="395"/>
      <c r="P28" s="664">
        <f t="shared" si="0"/>
        <v>0</v>
      </c>
      <c r="Q28" s="401"/>
      <c r="R28" s="402"/>
      <c r="S28" s="403"/>
      <c r="T28" s="404"/>
      <c r="U28" s="398">
        <f t="shared" si="1"/>
        <v>0</v>
      </c>
      <c r="V28" s="405"/>
      <c r="W28" s="398">
        <f t="shared" si="2"/>
        <v>0</v>
      </c>
      <c r="Y28" s="408"/>
      <c r="Z28" s="594"/>
      <c r="AA28" s="409"/>
      <c r="AB28" s="398">
        <f t="shared" si="4"/>
        <v>0</v>
      </c>
      <c r="AC28" s="605" t="str">
        <f t="shared" si="3"/>
        <v>0</v>
      </c>
      <c r="AD28" s="411">
        <f t="shared" si="5"/>
        <v>0</v>
      </c>
      <c r="AE28" s="412">
        <f t="shared" si="6"/>
        <v>0</v>
      </c>
      <c r="AF28" s="412">
        <f t="shared" si="7"/>
        <v>0</v>
      </c>
      <c r="AG28" s="410">
        <f t="shared" si="8"/>
        <v>0</v>
      </c>
    </row>
    <row r="29" spans="2:33" s="130" customFormat="1" ht="26.1" hidden="1" customHeight="1" x14ac:dyDescent="0.35">
      <c r="B29" s="387"/>
      <c r="C29" s="388"/>
      <c r="D29" s="388"/>
      <c r="E29" s="389"/>
      <c r="F29" s="389"/>
      <c r="G29" s="390"/>
      <c r="H29" s="391"/>
      <c r="I29" s="392"/>
      <c r="J29" s="393"/>
      <c r="K29" s="394"/>
      <c r="L29" s="394"/>
      <c r="M29" s="394"/>
      <c r="N29" s="394"/>
      <c r="O29" s="395"/>
      <c r="P29" s="664">
        <f t="shared" si="0"/>
        <v>0</v>
      </c>
      <c r="Q29" s="401"/>
      <c r="R29" s="404"/>
      <c r="S29" s="403"/>
      <c r="T29" s="404"/>
      <c r="U29" s="398">
        <f t="shared" si="1"/>
        <v>0</v>
      </c>
      <c r="V29" s="405"/>
      <c r="W29" s="398">
        <f t="shared" si="2"/>
        <v>0</v>
      </c>
      <c r="Y29" s="408"/>
      <c r="Z29" s="594"/>
      <c r="AA29" s="409"/>
      <c r="AB29" s="398">
        <f t="shared" si="4"/>
        <v>0</v>
      </c>
      <c r="AC29" s="605" t="str">
        <f t="shared" si="3"/>
        <v>0</v>
      </c>
      <c r="AD29" s="411">
        <f t="shared" si="5"/>
        <v>0</v>
      </c>
      <c r="AE29" s="412">
        <f t="shared" si="6"/>
        <v>0</v>
      </c>
      <c r="AF29" s="412">
        <f t="shared" si="7"/>
        <v>0</v>
      </c>
      <c r="AG29" s="410">
        <f t="shared" si="8"/>
        <v>0</v>
      </c>
    </row>
    <row r="30" spans="2:33" s="130" customFormat="1" ht="26.1" hidden="1" customHeight="1" x14ac:dyDescent="0.35">
      <c r="B30" s="387"/>
      <c r="C30" s="388"/>
      <c r="D30" s="388"/>
      <c r="E30" s="389"/>
      <c r="F30" s="389"/>
      <c r="G30" s="390"/>
      <c r="H30" s="391"/>
      <c r="I30" s="392"/>
      <c r="J30" s="393"/>
      <c r="K30" s="394"/>
      <c r="L30" s="394"/>
      <c r="M30" s="394"/>
      <c r="N30" s="394"/>
      <c r="O30" s="395"/>
      <c r="P30" s="664">
        <f t="shared" si="0"/>
        <v>0</v>
      </c>
      <c r="Q30" s="401"/>
      <c r="R30" s="402"/>
      <c r="S30" s="403"/>
      <c r="T30" s="404"/>
      <c r="U30" s="398">
        <f t="shared" si="1"/>
        <v>0</v>
      </c>
      <c r="V30" s="405"/>
      <c r="W30" s="398">
        <f t="shared" si="2"/>
        <v>0</v>
      </c>
      <c r="Y30" s="408"/>
      <c r="Z30" s="594"/>
      <c r="AA30" s="409"/>
      <c r="AB30" s="398">
        <f t="shared" si="4"/>
        <v>0</v>
      </c>
      <c r="AC30" s="605" t="str">
        <f t="shared" si="3"/>
        <v>0</v>
      </c>
      <c r="AD30" s="411">
        <f t="shared" si="5"/>
        <v>0</v>
      </c>
      <c r="AE30" s="412">
        <f t="shared" si="6"/>
        <v>0</v>
      </c>
      <c r="AF30" s="412">
        <f t="shared" si="7"/>
        <v>0</v>
      </c>
      <c r="AG30" s="410">
        <f t="shared" si="8"/>
        <v>0</v>
      </c>
    </row>
    <row r="31" spans="2:33" s="130" customFormat="1" ht="26.1" hidden="1" customHeight="1" x14ac:dyDescent="0.35">
      <c r="B31" s="387"/>
      <c r="C31" s="388"/>
      <c r="D31" s="388"/>
      <c r="E31" s="389"/>
      <c r="F31" s="389"/>
      <c r="G31" s="390"/>
      <c r="H31" s="391"/>
      <c r="I31" s="392"/>
      <c r="J31" s="393"/>
      <c r="K31" s="394"/>
      <c r="L31" s="394"/>
      <c r="M31" s="394"/>
      <c r="N31" s="394"/>
      <c r="O31" s="395"/>
      <c r="P31" s="664">
        <f t="shared" si="0"/>
        <v>0</v>
      </c>
      <c r="Q31" s="401"/>
      <c r="R31" s="402"/>
      <c r="S31" s="403"/>
      <c r="T31" s="404"/>
      <c r="U31" s="398">
        <f t="shared" si="1"/>
        <v>0</v>
      </c>
      <c r="V31" s="405"/>
      <c r="W31" s="398">
        <f t="shared" si="2"/>
        <v>0</v>
      </c>
      <c r="Y31" s="408"/>
      <c r="Z31" s="594"/>
      <c r="AA31" s="409"/>
      <c r="AB31" s="398">
        <f t="shared" si="4"/>
        <v>0</v>
      </c>
      <c r="AC31" s="605" t="str">
        <f t="shared" si="3"/>
        <v>0</v>
      </c>
      <c r="AD31" s="411">
        <f t="shared" si="5"/>
        <v>0</v>
      </c>
      <c r="AE31" s="412">
        <f t="shared" si="6"/>
        <v>0</v>
      </c>
      <c r="AF31" s="412">
        <f t="shared" si="7"/>
        <v>0</v>
      </c>
      <c r="AG31" s="410">
        <f t="shared" si="8"/>
        <v>0</v>
      </c>
    </row>
    <row r="32" spans="2:33" s="130" customFormat="1" ht="25.5" hidden="1" customHeight="1" x14ac:dyDescent="0.35">
      <c r="B32" s="387"/>
      <c r="C32" s="388"/>
      <c r="D32" s="388"/>
      <c r="E32" s="389"/>
      <c r="F32" s="389"/>
      <c r="G32" s="390"/>
      <c r="H32" s="391"/>
      <c r="I32" s="392"/>
      <c r="J32" s="393"/>
      <c r="K32" s="394"/>
      <c r="L32" s="394"/>
      <c r="M32" s="394"/>
      <c r="N32" s="394"/>
      <c r="O32" s="395"/>
      <c r="P32" s="664">
        <f t="shared" si="0"/>
        <v>0</v>
      </c>
      <c r="Q32" s="401"/>
      <c r="R32" s="402"/>
      <c r="S32" s="403"/>
      <c r="T32" s="404"/>
      <c r="U32" s="398">
        <f t="shared" si="1"/>
        <v>0</v>
      </c>
      <c r="V32" s="405"/>
      <c r="W32" s="398">
        <f t="shared" si="2"/>
        <v>0</v>
      </c>
      <c r="Y32" s="408"/>
      <c r="Z32" s="594"/>
      <c r="AA32" s="409"/>
      <c r="AB32" s="398">
        <f t="shared" si="4"/>
        <v>0</v>
      </c>
      <c r="AC32" s="605" t="str">
        <f t="shared" si="3"/>
        <v>0</v>
      </c>
      <c r="AD32" s="411">
        <f t="shared" si="5"/>
        <v>0</v>
      </c>
      <c r="AE32" s="412">
        <f t="shared" si="6"/>
        <v>0</v>
      </c>
      <c r="AF32" s="412">
        <f t="shared" si="7"/>
        <v>0</v>
      </c>
      <c r="AG32" s="410">
        <f t="shared" si="8"/>
        <v>0</v>
      </c>
    </row>
    <row r="33" spans="2:35" s="130" customFormat="1" ht="26.1" hidden="1" customHeight="1" x14ac:dyDescent="0.35">
      <c r="B33" s="387"/>
      <c r="C33" s="388"/>
      <c r="D33" s="388"/>
      <c r="E33" s="389"/>
      <c r="F33" s="389"/>
      <c r="G33" s="390"/>
      <c r="H33" s="391"/>
      <c r="I33" s="392"/>
      <c r="J33" s="393"/>
      <c r="K33" s="394"/>
      <c r="L33" s="394"/>
      <c r="M33" s="394"/>
      <c r="N33" s="394"/>
      <c r="O33" s="395"/>
      <c r="P33" s="664">
        <f t="shared" si="0"/>
        <v>0</v>
      </c>
      <c r="Q33" s="404"/>
      <c r="R33" s="404"/>
      <c r="S33" s="403"/>
      <c r="T33" s="404"/>
      <c r="U33" s="398">
        <f t="shared" si="1"/>
        <v>0</v>
      </c>
      <c r="V33" s="405"/>
      <c r="W33" s="398">
        <f t="shared" si="2"/>
        <v>0</v>
      </c>
      <c r="Y33" s="408"/>
      <c r="Z33" s="595"/>
      <c r="AA33" s="409"/>
      <c r="AB33" s="398">
        <f t="shared" si="4"/>
        <v>0</v>
      </c>
      <c r="AC33" s="605" t="str">
        <f t="shared" si="3"/>
        <v>0</v>
      </c>
      <c r="AD33" s="411">
        <f t="shared" si="5"/>
        <v>0</v>
      </c>
      <c r="AE33" s="412">
        <f t="shared" si="6"/>
        <v>0</v>
      </c>
      <c r="AF33" s="412">
        <f t="shared" si="7"/>
        <v>0</v>
      </c>
      <c r="AG33" s="410">
        <f t="shared" si="8"/>
        <v>0</v>
      </c>
    </row>
    <row r="34" spans="2:35" s="130" customFormat="1" ht="25.5" hidden="1" customHeight="1" x14ac:dyDescent="0.35">
      <c r="B34" s="387"/>
      <c r="C34" s="388"/>
      <c r="D34" s="388"/>
      <c r="E34" s="389"/>
      <c r="F34" s="389"/>
      <c r="G34" s="390"/>
      <c r="H34" s="391"/>
      <c r="I34" s="392"/>
      <c r="J34" s="393"/>
      <c r="K34" s="394"/>
      <c r="L34" s="394"/>
      <c r="M34" s="394"/>
      <c r="N34" s="394"/>
      <c r="O34" s="395"/>
      <c r="P34" s="664">
        <f t="shared" si="0"/>
        <v>0</v>
      </c>
      <c r="Q34" s="404"/>
      <c r="R34" s="404"/>
      <c r="S34" s="403"/>
      <c r="T34" s="404"/>
      <c r="U34" s="398">
        <f t="shared" si="1"/>
        <v>0</v>
      </c>
      <c r="V34" s="405"/>
      <c r="W34" s="398">
        <f t="shared" si="2"/>
        <v>0</v>
      </c>
      <c r="Y34" s="408"/>
      <c r="Z34" s="595"/>
      <c r="AA34" s="409"/>
      <c r="AB34" s="398">
        <f t="shared" si="4"/>
        <v>0</v>
      </c>
      <c r="AC34" s="605" t="str">
        <f t="shared" si="3"/>
        <v>0</v>
      </c>
      <c r="AD34" s="411">
        <f t="shared" si="5"/>
        <v>0</v>
      </c>
      <c r="AE34" s="412">
        <f t="shared" si="6"/>
        <v>0</v>
      </c>
      <c r="AF34" s="412">
        <f t="shared" si="7"/>
        <v>0</v>
      </c>
      <c r="AG34" s="410">
        <f t="shared" si="8"/>
        <v>0</v>
      </c>
    </row>
    <row r="35" spans="2:35" s="130" customFormat="1" ht="26.1" hidden="1" customHeight="1" x14ac:dyDescent="0.35">
      <c r="B35" s="387"/>
      <c r="C35" s="388"/>
      <c r="D35" s="388"/>
      <c r="E35" s="389"/>
      <c r="F35" s="389"/>
      <c r="G35" s="390"/>
      <c r="H35" s="391"/>
      <c r="I35" s="392"/>
      <c r="J35" s="391"/>
      <c r="K35" s="394"/>
      <c r="L35" s="394"/>
      <c r="M35" s="394"/>
      <c r="N35" s="394"/>
      <c r="O35" s="395"/>
      <c r="P35" s="664">
        <f t="shared" si="0"/>
        <v>0</v>
      </c>
      <c r="Q35" s="404"/>
      <c r="R35" s="404"/>
      <c r="S35" s="403"/>
      <c r="T35" s="404"/>
      <c r="U35" s="398">
        <f t="shared" si="1"/>
        <v>0</v>
      </c>
      <c r="V35" s="405"/>
      <c r="W35" s="398">
        <f t="shared" si="2"/>
        <v>0</v>
      </c>
      <c r="Y35" s="408"/>
      <c r="Z35" s="595"/>
      <c r="AA35" s="409"/>
      <c r="AB35" s="398">
        <f t="shared" si="4"/>
        <v>0</v>
      </c>
      <c r="AC35" s="605" t="str">
        <f t="shared" si="3"/>
        <v>0</v>
      </c>
      <c r="AD35" s="411">
        <f t="shared" si="5"/>
        <v>0</v>
      </c>
      <c r="AE35" s="412">
        <f t="shared" si="6"/>
        <v>0</v>
      </c>
      <c r="AF35" s="412">
        <f t="shared" si="7"/>
        <v>0</v>
      </c>
      <c r="AG35" s="410">
        <f t="shared" si="8"/>
        <v>0</v>
      </c>
    </row>
    <row r="36" spans="2:35" s="130" customFormat="1" ht="26.1" hidden="1" customHeight="1" x14ac:dyDescent="0.35">
      <c r="B36" s="387"/>
      <c r="C36" s="388"/>
      <c r="D36" s="388"/>
      <c r="E36" s="389"/>
      <c r="F36" s="389"/>
      <c r="G36" s="390"/>
      <c r="H36" s="391"/>
      <c r="I36" s="392"/>
      <c r="J36" s="393"/>
      <c r="K36" s="394"/>
      <c r="L36" s="394"/>
      <c r="M36" s="394"/>
      <c r="N36" s="394"/>
      <c r="O36" s="395"/>
      <c r="P36" s="664">
        <f t="shared" si="0"/>
        <v>0</v>
      </c>
      <c r="Q36" s="401"/>
      <c r="R36" s="402"/>
      <c r="S36" s="403"/>
      <c r="T36" s="404"/>
      <c r="U36" s="398">
        <f t="shared" si="1"/>
        <v>0</v>
      </c>
      <c r="V36" s="405"/>
      <c r="W36" s="398">
        <f t="shared" si="2"/>
        <v>0</v>
      </c>
      <c r="Y36" s="408"/>
      <c r="Z36" s="594"/>
      <c r="AA36" s="409"/>
      <c r="AB36" s="398">
        <f t="shared" si="4"/>
        <v>0</v>
      </c>
      <c r="AC36" s="605" t="str">
        <f t="shared" si="3"/>
        <v>0</v>
      </c>
      <c r="AD36" s="411">
        <f t="shared" si="5"/>
        <v>0</v>
      </c>
      <c r="AE36" s="412">
        <f t="shared" si="6"/>
        <v>0</v>
      </c>
      <c r="AF36" s="412">
        <f t="shared" si="7"/>
        <v>0</v>
      </c>
      <c r="AG36" s="410">
        <f t="shared" si="8"/>
        <v>0</v>
      </c>
    </row>
    <row r="37" spans="2:35" s="130" customFormat="1" ht="26.1" hidden="1" customHeight="1" x14ac:dyDescent="0.35">
      <c r="B37" s="387"/>
      <c r="C37" s="388"/>
      <c r="D37" s="388"/>
      <c r="E37" s="389"/>
      <c r="F37" s="389"/>
      <c r="G37" s="390"/>
      <c r="H37" s="391"/>
      <c r="I37" s="392"/>
      <c r="J37" s="393"/>
      <c r="K37" s="394"/>
      <c r="L37" s="394"/>
      <c r="M37" s="394"/>
      <c r="N37" s="394"/>
      <c r="O37" s="395"/>
      <c r="P37" s="664">
        <f t="shared" si="0"/>
        <v>0</v>
      </c>
      <c r="Q37" s="401"/>
      <c r="R37" s="402"/>
      <c r="S37" s="403">
        <v>0</v>
      </c>
      <c r="T37" s="404"/>
      <c r="U37" s="398">
        <f t="shared" si="1"/>
        <v>0</v>
      </c>
      <c r="V37" s="405"/>
      <c r="W37" s="398">
        <f t="shared" si="2"/>
        <v>0</v>
      </c>
      <c r="Y37" s="408"/>
      <c r="Z37" s="594"/>
      <c r="AA37" s="409"/>
      <c r="AB37" s="398">
        <f t="shared" si="4"/>
        <v>0</v>
      </c>
      <c r="AC37" s="605" t="str">
        <f t="shared" si="3"/>
        <v>0</v>
      </c>
      <c r="AD37" s="411">
        <f t="shared" si="5"/>
        <v>0</v>
      </c>
      <c r="AE37" s="412">
        <f t="shared" si="6"/>
        <v>0</v>
      </c>
      <c r="AF37" s="412">
        <f t="shared" si="7"/>
        <v>0</v>
      </c>
      <c r="AG37" s="410">
        <f t="shared" si="8"/>
        <v>0</v>
      </c>
    </row>
    <row r="38" spans="2:35" s="130" customFormat="1" ht="26.1" customHeight="1" thickBot="1" x14ac:dyDescent="0.4">
      <c r="B38" s="441"/>
      <c r="C38" s="439"/>
      <c r="D38" s="439"/>
      <c r="E38" s="440"/>
      <c r="F38" s="440"/>
      <c r="G38" s="520"/>
      <c r="H38" s="483"/>
      <c r="I38" s="521"/>
      <c r="J38" s="522"/>
      <c r="K38" s="450"/>
      <c r="L38" s="450"/>
      <c r="M38" s="450"/>
      <c r="N38" s="450"/>
      <c r="O38" s="523"/>
      <c r="P38" s="664">
        <f t="shared" si="0"/>
        <v>0</v>
      </c>
      <c r="Q38" s="437"/>
      <c r="R38" s="485"/>
      <c r="S38" s="524">
        <v>0</v>
      </c>
      <c r="T38" s="482"/>
      <c r="U38" s="398">
        <f t="shared" si="1"/>
        <v>0</v>
      </c>
      <c r="V38" s="453"/>
      <c r="W38" s="398">
        <f t="shared" si="2"/>
        <v>0</v>
      </c>
      <c r="Y38" s="528"/>
      <c r="Z38" s="596"/>
      <c r="AA38" s="529"/>
      <c r="AB38" s="398">
        <f t="shared" si="4"/>
        <v>0</v>
      </c>
      <c r="AC38" s="605" t="str">
        <f t="shared" si="3"/>
        <v>0</v>
      </c>
      <c r="AD38" s="411">
        <f t="shared" si="5"/>
        <v>0</v>
      </c>
      <c r="AE38" s="412">
        <f t="shared" si="6"/>
        <v>0</v>
      </c>
      <c r="AF38" s="412">
        <f t="shared" si="7"/>
        <v>0</v>
      </c>
      <c r="AG38" s="410">
        <f t="shared" si="8"/>
        <v>0</v>
      </c>
    </row>
    <row r="39" spans="2:35" s="131" customFormat="1" ht="12" customHeight="1" thickBot="1" x14ac:dyDescent="0.4">
      <c r="C39" s="132"/>
      <c r="D39" s="133"/>
      <c r="E39" s="133"/>
      <c r="F39" s="134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V39" s="135"/>
      <c r="W39" s="135"/>
      <c r="Y39" s="303"/>
      <c r="AB39" s="136"/>
      <c r="AC39" s="607"/>
      <c r="AD39" s="137"/>
      <c r="AE39" s="137"/>
      <c r="AF39" s="137"/>
      <c r="AG39" s="137"/>
    </row>
    <row r="40" spans="2:35" s="131" customFormat="1" ht="17.100000000000001" customHeight="1" x14ac:dyDescent="0.35">
      <c r="B40" s="138" t="s">
        <v>58</v>
      </c>
      <c r="C40" s="139"/>
      <c r="D40" s="139"/>
      <c r="E40" s="140"/>
      <c r="F40" s="141"/>
      <c r="G40" s="141"/>
      <c r="H40" s="141"/>
      <c r="I40" s="141"/>
      <c r="J40" s="141"/>
      <c r="K40" s="142"/>
      <c r="L40" s="142" t="s">
        <v>376</v>
      </c>
      <c r="M40" s="142" t="s">
        <v>377</v>
      </c>
      <c r="N40" s="142" t="s">
        <v>378</v>
      </c>
      <c r="O40" s="142" t="s">
        <v>379</v>
      </c>
      <c r="P40" s="573"/>
      <c r="Q40" s="573"/>
      <c r="R40" s="573"/>
      <c r="S40" s="573"/>
      <c r="T40" s="573"/>
      <c r="U40" s="142" t="s">
        <v>369</v>
      </c>
      <c r="V40" s="573"/>
      <c r="W40" s="143" t="s">
        <v>380</v>
      </c>
      <c r="Y40" s="583"/>
      <c r="Z40" s="573"/>
      <c r="AA40" s="573"/>
      <c r="AB40" s="144" t="s">
        <v>869</v>
      </c>
      <c r="AC40" s="607"/>
      <c r="AD40" s="137"/>
      <c r="AE40" s="137"/>
      <c r="AF40" s="137"/>
      <c r="AG40" s="137"/>
    </row>
    <row r="41" spans="2:35" ht="17.100000000000001" customHeight="1" x14ac:dyDescent="0.4">
      <c r="B41" s="145"/>
      <c r="C41" s="146"/>
      <c r="D41" s="146"/>
      <c r="E41" s="147"/>
      <c r="F41" s="148"/>
      <c r="G41" s="148"/>
      <c r="H41" s="148"/>
      <c r="I41" s="148"/>
      <c r="J41" s="149"/>
      <c r="K41" s="150" t="str">
        <f>Zusammenfassung!$C$26</f>
        <v>USD</v>
      </c>
      <c r="L41" s="406">
        <f ca="1">SUMIF(INDIRECT("$J12:$J"&amp;EndZMaterials), $K41,INDIRECT("AD12:AD"&amp;EndZMaterials))</f>
        <v>1.26</v>
      </c>
      <c r="M41" s="406">
        <f ca="1">SUMIF(INDIRECT("$J12:$J"&amp;EndZMaterials), $K41,INDIRECT("AE12:AE"&amp;EndZMaterials))</f>
        <v>0</v>
      </c>
      <c r="N41" s="406">
        <f ca="1">SUMIF(INDIRECT("$J12:$J"&amp;EndZMaterials), $K41,INDIRECT("AF12:AF"&amp;EndZMaterials))</f>
        <v>0</v>
      </c>
      <c r="O41" s="406">
        <f ca="1">SUMIF(INDIRECT("$J12:$J"&amp;EndZMaterials), $K41,INDIRECT("AG12:AG"&amp;EndZMaterials))</f>
        <v>1.8346719999999999</v>
      </c>
      <c r="P41" s="580"/>
      <c r="Q41" s="581"/>
      <c r="R41" s="581"/>
      <c r="S41" s="581"/>
      <c r="T41" s="577"/>
      <c r="U41" s="406">
        <f ca="1">SUMIF(INDIRECT("$J12:$J"&amp;EndZMaterials), $K41,INDIRECT("U12:U"&amp;EndZMaterials))</f>
        <v>93.568271999999993</v>
      </c>
      <c r="V41" s="582"/>
      <c r="W41" s="407">
        <f ca="1">SUMIF(INDIRECT("$J12:$J"&amp;EndZMaterials), $K41,INDIRECT("W12:W"&amp;EndZMaterials))</f>
        <v>1.1364567449392715</v>
      </c>
      <c r="Y41" s="585"/>
      <c r="Z41" s="581"/>
      <c r="AA41" s="577"/>
      <c r="AB41" s="407">
        <f ca="1">SUMIF(INDIRECT("$J12:$J"&amp;EndZMaterials), $K41,INDIRECT("AB12:AB"&amp;EndZMaterials))</f>
        <v>0</v>
      </c>
      <c r="AD41" s="151"/>
      <c r="AE41" s="151"/>
      <c r="AF41" s="151"/>
      <c r="AG41" s="151"/>
      <c r="AH41" s="131"/>
      <c r="AI41" s="131"/>
    </row>
    <row r="42" spans="2:35" ht="17.100000000000001" customHeight="1" x14ac:dyDescent="0.4">
      <c r="B42" s="152"/>
      <c r="C42" s="146"/>
      <c r="D42" s="146"/>
      <c r="E42" s="147"/>
      <c r="F42" s="153"/>
      <c r="G42" s="153"/>
      <c r="H42" s="153"/>
      <c r="I42" s="154"/>
      <c r="J42" s="154"/>
      <c r="K42" s="155">
        <f>Zusammenfassung!$C$27</f>
        <v>0</v>
      </c>
      <c r="L42" s="406">
        <f ca="1">SUMIF(INDIRECT("$J12:$J"&amp;EndZMaterials), $K42,INDIRECT("AD12:AD"&amp;EndZMaterials))</f>
        <v>0</v>
      </c>
      <c r="M42" s="406">
        <f ca="1">SUMIF(INDIRECT("$J12:$J"&amp;EndZMaterials), $K42,INDIRECT("AE12:AE"&amp;EndZMaterials))</f>
        <v>0</v>
      </c>
      <c r="N42" s="406">
        <f ca="1">SUMIF(INDIRECT("$J12:$J"&amp;EndZMaterials), $K42,INDIRECT("AF12:AF"&amp;EndZMaterials))</f>
        <v>0</v>
      </c>
      <c r="O42" s="406">
        <f ca="1">SUMIF(INDIRECT("$J12:$J"&amp;EndZMaterials), $K42,INDIRECT("AG12:AG"&amp;EndZMaterials))</f>
        <v>0</v>
      </c>
      <c r="P42" s="580"/>
      <c r="Q42" s="581"/>
      <c r="R42" s="581"/>
      <c r="S42" s="581"/>
      <c r="T42" s="577"/>
      <c r="U42" s="545">
        <f ca="1">SUMIF(INDIRECT("$J12:$J"&amp;EndZMaterials), $K42,INDIRECT("U12:U"&amp;EndZMaterials))</f>
        <v>0</v>
      </c>
      <c r="V42" s="582"/>
      <c r="W42" s="546">
        <f ca="1">SUMIF(INDIRECT("$J12:$J"&amp;EndZMaterials), $K42,INDIRECT("W12:W"&amp;EndZMaterials))</f>
        <v>0</v>
      </c>
      <c r="Y42" s="585"/>
      <c r="Z42" s="581"/>
      <c r="AA42" s="577"/>
      <c r="AB42" s="546">
        <f ca="1">SUMIF(INDIRECT("$J12:$J"&amp;EndZMaterials), $K42,INDIRECT("AB12:AB"&amp;EndZMaterials))</f>
        <v>0</v>
      </c>
      <c r="AD42" s="151"/>
      <c r="AE42" s="151"/>
      <c r="AF42" s="151"/>
      <c r="AG42" s="151"/>
      <c r="AH42" s="131"/>
      <c r="AI42" s="131"/>
    </row>
    <row r="43" spans="2:35" ht="17.100000000000001" customHeight="1" thickBot="1" x14ac:dyDescent="0.45">
      <c r="B43" s="326" t="s">
        <v>407</v>
      </c>
      <c r="C43" s="157"/>
      <c r="D43" s="157"/>
      <c r="E43" s="158"/>
      <c r="F43" s="159"/>
      <c r="G43" s="159"/>
      <c r="H43" s="159"/>
      <c r="I43" s="160"/>
      <c r="J43" s="160"/>
      <c r="K43" s="161">
        <f>Zusammenfassung!$C$28</f>
        <v>0</v>
      </c>
      <c r="L43" s="544">
        <f ca="1">SUMIF(INDIRECT("$J12:$J"&amp;EndZMaterials), $K43,INDIRECT("AD12:AD"&amp;EndZMaterials))</f>
        <v>0</v>
      </c>
      <c r="M43" s="544">
        <f ca="1">SUMIF(INDIRECT("$J12:$J"&amp;EndZMaterials), $K43,INDIRECT("AE12:AE"&amp;EndZMaterials))</f>
        <v>0</v>
      </c>
      <c r="N43" s="544">
        <f ca="1">SUMIF(INDIRECT("$J12:$J"&amp;EndZMaterials), $K43,INDIRECT("AF12:AF"&amp;EndZMaterials))</f>
        <v>0</v>
      </c>
      <c r="O43" s="544">
        <f ca="1">SUMIF(INDIRECT("$J12:$J"&amp;EndZMaterials), $K43,INDIRECT("AG12:AG"&amp;EndZMaterials))</f>
        <v>0</v>
      </c>
      <c r="P43" s="579"/>
      <c r="Q43" s="579"/>
      <c r="R43" s="579"/>
      <c r="S43" s="579"/>
      <c r="T43" s="579"/>
      <c r="U43" s="544">
        <f ca="1">SUMIF(INDIRECT("$J12:$J"&amp;EndZMaterials), $K43,INDIRECT("U12:U"&amp;EndZMaterials))</f>
        <v>0</v>
      </c>
      <c r="V43" s="579"/>
      <c r="W43" s="547">
        <f ca="1">SUMIF(INDIRECT("$J12:$J"&amp;EndZMaterials), $K43,INDIRECT("W12:W"&amp;EndZMaterials))</f>
        <v>0</v>
      </c>
      <c r="Y43" s="584"/>
      <c r="Z43" s="579"/>
      <c r="AA43" s="579"/>
      <c r="AB43" s="547">
        <f ca="1">SUMIF(INDIRECT("$J12:$J"&amp;EndZMaterials), $K43,INDIRECT("AB12:AB"&amp;EndZMaterials))</f>
        <v>0</v>
      </c>
      <c r="AD43" s="151"/>
      <c r="AE43" s="151"/>
      <c r="AF43" s="151"/>
      <c r="AG43" s="151"/>
      <c r="AH43" s="131"/>
      <c r="AI43" s="131"/>
    </row>
    <row r="44" spans="2:35" x14ac:dyDescent="0.35">
      <c r="AD44" s="131"/>
      <c r="AE44" s="131"/>
      <c r="AF44" s="131"/>
      <c r="AG44" s="131"/>
      <c r="AH44" s="131"/>
      <c r="AI44" s="131"/>
    </row>
    <row r="45" spans="2:35" x14ac:dyDescent="0.35">
      <c r="AD45" s="131"/>
      <c r="AE45" s="131"/>
      <c r="AF45" s="131"/>
      <c r="AG45" s="131"/>
      <c r="AH45" s="131"/>
      <c r="AI45" s="131"/>
    </row>
    <row r="46" spans="2:35" x14ac:dyDescent="0.35">
      <c r="AD46" s="131"/>
      <c r="AE46" s="131"/>
      <c r="AF46" s="131"/>
      <c r="AG46" s="131"/>
      <c r="AH46" s="131"/>
      <c r="AI46" s="131"/>
    </row>
    <row r="47" spans="2:35" x14ac:dyDescent="0.35">
      <c r="AD47" s="131"/>
      <c r="AE47" s="131"/>
      <c r="AF47" s="131"/>
      <c r="AG47" s="131"/>
      <c r="AH47" s="131"/>
      <c r="AI47" s="131"/>
    </row>
  </sheetData>
  <sheetProtection insertRows="0" deleteRows="0"/>
  <mergeCells count="14">
    <mergeCell ref="G4:I4"/>
    <mergeCell ref="S5:W5"/>
    <mergeCell ref="S6:W6"/>
    <mergeCell ref="S7:W7"/>
    <mergeCell ref="S8:W8"/>
    <mergeCell ref="J5:O5"/>
    <mergeCell ref="J6:O6"/>
    <mergeCell ref="J7:O7"/>
    <mergeCell ref="J8:O8"/>
    <mergeCell ref="B4:C4"/>
    <mergeCell ref="D5:F5"/>
    <mergeCell ref="D6:F6"/>
    <mergeCell ref="D7:F7"/>
    <mergeCell ref="D8:F8"/>
  </mergeCells>
  <conditionalFormatting sqref="U43 W43 AB43 L43:O43">
    <cfRule type="expression" dxfId="46" priority="33" stopIfTrue="1">
      <formula>$K$43=0</formula>
    </cfRule>
  </conditionalFormatting>
  <conditionalFormatting sqref="L42:O42 U42 W42 AB42">
    <cfRule type="expression" dxfId="45" priority="32" stopIfTrue="1">
      <formula>$K$42=0</formula>
    </cfRule>
  </conditionalFormatting>
  <conditionalFormatting sqref="Q12:S38">
    <cfRule type="expression" dxfId="44" priority="2">
      <formula>$G12=(Rohstoff_Risiko)</formula>
    </cfRule>
    <cfRule type="expression" dxfId="43" priority="18" stopIfTrue="1">
      <formula>$G12="Stück (Kaufteil)"</formula>
    </cfRule>
  </conditionalFormatting>
  <conditionalFormatting sqref="Q12:Q38 S12:S38 L12:O38 V12:W38">
    <cfRule type="expression" dxfId="42" priority="17" stopIfTrue="1">
      <formula>$G12="Prämie (kg)"</formula>
    </cfRule>
  </conditionalFormatting>
  <conditionalFormatting sqref="AA12:AB38">
    <cfRule type="expression" dxfId="41" priority="10" stopIfTrue="1">
      <formula>$AC12="x"</formula>
    </cfRule>
  </conditionalFormatting>
  <conditionalFormatting sqref="Y12:AB38">
    <cfRule type="expression" dxfId="40" priority="8">
      <formula>$G12="Stück (Kaufteil)"</formula>
    </cfRule>
  </conditionalFormatting>
  <conditionalFormatting sqref="L13:O32">
    <cfRule type="expression" dxfId="39" priority="7" stopIfTrue="1">
      <formula>$G13="Prämie (kg)"</formula>
    </cfRule>
  </conditionalFormatting>
  <conditionalFormatting sqref="V24:V32">
    <cfRule type="expression" dxfId="38" priority="4" stopIfTrue="1">
      <formula>$G24="Prämie (kg)"</formula>
    </cfRule>
  </conditionalFormatting>
  <conditionalFormatting sqref="L34:O34">
    <cfRule type="expression" dxfId="37" priority="3" stopIfTrue="1">
      <formula>$G34="Prämie (kg)"</formula>
    </cfRule>
  </conditionalFormatting>
  <conditionalFormatting sqref="L36:O36">
    <cfRule type="expression" dxfId="36" priority="1" stopIfTrue="1">
      <formula>$G36="Prämie (kg)"</formula>
    </cfRule>
  </conditionalFormatting>
  <dataValidations count="7">
    <dataValidation type="list" allowBlank="1" showInputMessage="1" showErrorMessage="1" sqref="II12:IV38">
      <formula1>BAUTEILKENNUNG</formula1>
    </dataValidation>
    <dataValidation type="list" allowBlank="1" showInputMessage="1" showErrorMessage="1" sqref="G12:G38">
      <formula1>listMengeneinheiten</formula1>
    </dataValidation>
    <dataValidation type="list" allowBlank="1" showInputMessage="1" showErrorMessage="1" sqref="J12:J38">
      <formula1>listAngebotsWährungen</formula1>
    </dataValidation>
    <dataValidation type="list" allowBlank="1" showInputMessage="1" showErrorMessage="1" sqref="H12:H38">
      <formula1>listZulässigeBeschaffungswährungen</formula1>
    </dataValidation>
    <dataValidation type="list" allowBlank="1" showInputMessage="1" showErrorMessage="1" sqref="Y12:Y38">
      <formula1>listRohstoffschlüssel_Neu</formula1>
    </dataValidation>
    <dataValidation type="custom" allowBlank="1" showInputMessage="1" showErrorMessage="1" errorTitle="Rückvergütung [AW]" error="Die Rückvergütung ist nur als positiver Wert einzutragen" sqref="S12">
      <formula1>S12&gt;=0</formula1>
    </dataValidation>
    <dataValidation type="custom" allowBlank="1" showInputMessage="1" showErrorMessage="1" errorTitle="Rückvergütung" error="Die Rückvergütung ist nur als positiver Wert einzutragen" sqref="S13:S38">
      <formula1>S13&gt;=0</formula1>
    </dataValidation>
  </dataValidations>
  <hyperlinks>
    <hyperlink ref="U2" r:id="rId1"/>
  </hyperlinks>
  <pageMargins left="0.39370078740157483" right="0.39370078740157483" top="0.39370078740157483" bottom="0.39370078740157483" header="0.31496062992125984" footer="0.31496062992125984"/>
  <pageSetup paperSize="9" scale="47" orientation="landscape" r:id="rId2"/>
  <ignoredErrors>
    <ignoredError sqref="A1:AI1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03Fer">
    <tabColor theme="6" tint="0.39997558519241921"/>
    <pageSetUpPr fitToPage="1"/>
  </sheetPr>
  <dimension ref="A1:AG58"/>
  <sheetViews>
    <sheetView showGridLines="0" showZeros="0" topLeftCell="E1" zoomScaleNormal="100" zoomScalePageLayoutView="80" workbookViewId="0">
      <selection activeCell="V13" sqref="V13:V20"/>
    </sheetView>
  </sheetViews>
  <sheetFormatPr baseColWidth="10" defaultColWidth="11.46484375" defaultRowHeight="13.5" x14ac:dyDescent="0.35"/>
  <cols>
    <col min="1" max="1" width="1.46484375" style="101" customWidth="1"/>
    <col min="2" max="2" width="5.796875" style="101" customWidth="1"/>
    <col min="3" max="4" width="25.796875" style="101" customWidth="1"/>
    <col min="5" max="6" width="15.796875" style="101" customWidth="1"/>
    <col min="7" max="7" width="5.796875" style="101" customWidth="1"/>
    <col min="8" max="10" width="8.19921875" style="101" customWidth="1"/>
    <col min="11" max="11" width="10.796875" style="101" customWidth="1"/>
    <col min="12" max="12" width="8.19921875" style="101" customWidth="1"/>
    <col min="13" max="17" width="10.796875" style="101" customWidth="1"/>
    <col min="18" max="18" width="5.796875" style="101" customWidth="1"/>
    <col min="19" max="19" width="8.19921875" style="101" customWidth="1"/>
    <col min="20" max="20" width="8.796875" style="101" customWidth="1"/>
    <col min="21" max="21" width="10.796875" style="101" customWidth="1"/>
    <col min="22" max="22" width="8.19921875" style="101" customWidth="1"/>
    <col min="23" max="23" width="10.796875" style="101" customWidth="1"/>
    <col min="24" max="24" width="1.46484375" style="101" customWidth="1"/>
    <col min="25" max="29" width="11.46484375" style="101" hidden="1" customWidth="1"/>
    <col min="30" max="32" width="0" style="101" hidden="1" customWidth="1"/>
    <col min="33" max="16384" width="11.46484375" style="101"/>
  </cols>
  <sheetData>
    <row r="1" spans="1:32" s="305" customFormat="1" ht="7.5" customHeight="1" thickBot="1" x14ac:dyDescent="0.4">
      <c r="A1" s="305">
        <v>2</v>
      </c>
      <c r="B1" s="305">
        <v>5</v>
      </c>
      <c r="C1" s="305">
        <v>12</v>
      </c>
      <c r="D1" s="305">
        <v>25</v>
      </c>
      <c r="E1" s="305">
        <v>15</v>
      </c>
      <c r="F1" s="305">
        <v>15</v>
      </c>
      <c r="G1" s="305">
        <v>5</v>
      </c>
      <c r="H1" s="305">
        <v>7.5</v>
      </c>
      <c r="I1" s="305">
        <v>7.5</v>
      </c>
      <c r="J1" s="305">
        <v>7.5</v>
      </c>
      <c r="K1" s="305">
        <v>10</v>
      </c>
      <c r="L1" s="305">
        <v>7.5</v>
      </c>
      <c r="M1" s="305">
        <v>10</v>
      </c>
      <c r="O1" s="305">
        <v>10</v>
      </c>
      <c r="P1" s="305">
        <v>10</v>
      </c>
      <c r="Q1" s="305">
        <v>10</v>
      </c>
      <c r="R1" s="306">
        <v>5</v>
      </c>
      <c r="S1" s="306">
        <v>7.5</v>
      </c>
      <c r="T1" s="306">
        <v>5</v>
      </c>
      <c r="U1" s="306">
        <v>10</v>
      </c>
      <c r="V1" s="305">
        <v>7.5</v>
      </c>
      <c r="W1" s="305">
        <v>10</v>
      </c>
      <c r="X1" s="305">
        <v>2</v>
      </c>
    </row>
    <row r="2" spans="1:32" s="69" customFormat="1" ht="26.25" customHeight="1" x14ac:dyDescent="0.6">
      <c r="B2" s="61" t="s">
        <v>1</v>
      </c>
      <c r="C2" s="61"/>
      <c r="D2" s="62"/>
      <c r="E2" s="62"/>
      <c r="F2" s="61" t="s">
        <v>2</v>
      </c>
      <c r="G2" s="62"/>
      <c r="H2" s="70"/>
      <c r="I2" s="62"/>
      <c r="J2" s="62"/>
      <c r="K2" s="62"/>
      <c r="L2" s="62"/>
      <c r="M2" s="62"/>
      <c r="N2" s="62"/>
      <c r="O2" s="62"/>
      <c r="P2" s="62"/>
      <c r="Q2" s="63" t="s">
        <v>46</v>
      </c>
      <c r="R2" s="60"/>
      <c r="S2" s="75"/>
      <c r="U2" s="686" t="s">
        <v>944</v>
      </c>
      <c r="V2" s="62"/>
      <c r="W2" s="77"/>
    </row>
    <row r="3" spans="1:32" s="69" customFormat="1" ht="17.25" x14ac:dyDescent="0.45">
      <c r="B3" s="78" t="s">
        <v>496</v>
      </c>
      <c r="C3" s="78"/>
      <c r="D3" s="80"/>
      <c r="E3" s="80"/>
      <c r="F3" s="81" t="s">
        <v>940</v>
      </c>
      <c r="G3" s="80"/>
      <c r="I3" s="82"/>
      <c r="J3" s="82"/>
      <c r="K3" s="82"/>
      <c r="L3" s="82"/>
      <c r="M3" s="82"/>
      <c r="N3" s="82"/>
      <c r="O3" s="82"/>
      <c r="P3" s="82"/>
      <c r="Q3" s="717" t="s">
        <v>963</v>
      </c>
      <c r="R3" s="76"/>
      <c r="S3" s="82"/>
      <c r="T3" s="82"/>
      <c r="U3" s="82"/>
      <c r="V3" s="82"/>
      <c r="W3" s="83"/>
    </row>
    <row r="4" spans="1:32" s="69" customFormat="1" ht="13.9" thickBot="1" x14ac:dyDescent="0.4">
      <c r="B4" s="932" t="str">
        <f>+Zusammenfassung!B4</f>
        <v>QAF Version 8.5_01_01 © BMW AG</v>
      </c>
      <c r="C4" s="951"/>
      <c r="D4" s="84"/>
      <c r="E4" s="84"/>
      <c r="F4" s="946" t="s">
        <v>941</v>
      </c>
      <c r="G4" s="947"/>
      <c r="H4" s="947"/>
      <c r="I4" s="85"/>
      <c r="J4" s="85"/>
      <c r="K4" s="85"/>
      <c r="L4" s="85"/>
      <c r="M4" s="85"/>
      <c r="N4" s="85"/>
      <c r="O4" s="85"/>
      <c r="P4" s="85"/>
      <c r="R4" s="85"/>
      <c r="S4" s="85"/>
      <c r="T4" s="85"/>
      <c r="U4" s="85"/>
      <c r="V4" s="85"/>
      <c r="W4" s="86"/>
    </row>
    <row r="5" spans="1:32" s="69" customFormat="1" ht="16.5" customHeight="1" x14ac:dyDescent="0.35">
      <c r="B5" s="354" t="s">
        <v>53</v>
      </c>
      <c r="C5" s="354"/>
      <c r="D5" s="948" t="str">
        <f>Zusammenfassung!$C5</f>
        <v>K. Weigand</v>
      </c>
      <c r="E5" s="954"/>
      <c r="F5" s="354" t="s">
        <v>280</v>
      </c>
      <c r="G5" s="355"/>
      <c r="H5" s="355"/>
      <c r="I5" s="934" t="str">
        <f>Zusammenfassung!$I5</f>
        <v>ZF Peterlee</v>
      </c>
      <c r="J5" s="935"/>
      <c r="K5" s="935"/>
      <c r="L5" s="935"/>
      <c r="M5" s="935"/>
      <c r="N5" s="935"/>
      <c r="O5" s="935"/>
      <c r="P5" s="163" t="s">
        <v>6</v>
      </c>
      <c r="Q5" s="164"/>
      <c r="R5" s="948" t="str">
        <f>Zusammenfassung!$M5</f>
        <v>KAFAS4 MonoCam</v>
      </c>
      <c r="S5" s="935"/>
      <c r="T5" s="935"/>
      <c r="U5" s="935"/>
      <c r="V5" s="935"/>
      <c r="W5" s="936"/>
    </row>
    <row r="6" spans="1:32" s="69" customFormat="1" ht="17.100000000000001" customHeight="1" x14ac:dyDescent="0.35">
      <c r="B6" s="165" t="s">
        <v>7</v>
      </c>
      <c r="C6" s="165"/>
      <c r="D6" s="937">
        <f>HYPERLINK(CONCATENATE("mailto:",Zusammenfassung!C6),Zusammenfassung!C6)</f>
        <v>0</v>
      </c>
      <c r="E6" s="955"/>
      <c r="F6" s="356" t="s">
        <v>8</v>
      </c>
      <c r="G6" s="166"/>
      <c r="H6" s="166"/>
      <c r="I6" s="940">
        <f>Zusammenfassung!$I6</f>
        <v>0</v>
      </c>
      <c r="J6" s="941"/>
      <c r="K6" s="941"/>
      <c r="L6" s="941"/>
      <c r="M6" s="941"/>
      <c r="N6" s="941"/>
      <c r="O6" s="941"/>
      <c r="P6" s="166" t="s">
        <v>9</v>
      </c>
      <c r="Q6" s="167"/>
      <c r="R6" s="940">
        <f>Zusammenfassung!$M6</f>
        <v>0</v>
      </c>
      <c r="S6" s="941"/>
      <c r="T6" s="941"/>
      <c r="U6" s="941"/>
      <c r="V6" s="941"/>
      <c r="W6" s="942"/>
    </row>
    <row r="7" spans="1:32" s="69" customFormat="1" ht="17.100000000000001" customHeight="1" x14ac:dyDescent="0.35">
      <c r="B7" s="165" t="s">
        <v>10</v>
      </c>
      <c r="C7" s="165"/>
      <c r="D7" s="940">
        <f>Zusammenfassung!$C7</f>
        <v>0</v>
      </c>
      <c r="E7" s="955"/>
      <c r="F7" s="356" t="s">
        <v>11</v>
      </c>
      <c r="G7" s="166"/>
      <c r="H7" s="166"/>
      <c r="I7" s="940" t="str">
        <f>Zusammenfassung!$I7</f>
        <v>All</v>
      </c>
      <c r="J7" s="941"/>
      <c r="K7" s="941"/>
      <c r="L7" s="941"/>
      <c r="M7" s="941"/>
      <c r="N7" s="941"/>
      <c r="O7" s="941"/>
      <c r="P7" s="166" t="s">
        <v>41</v>
      </c>
      <c r="Q7" s="167"/>
      <c r="R7" s="952">
        <f>Zusammenfassung!$M7</f>
        <v>0</v>
      </c>
      <c r="S7" s="941"/>
      <c r="T7" s="941"/>
      <c r="U7" s="941"/>
      <c r="V7" s="941"/>
      <c r="W7" s="942"/>
    </row>
    <row r="8" spans="1:32" s="69" customFormat="1" ht="17.100000000000001" customHeight="1" thickBot="1" x14ac:dyDescent="0.4">
      <c r="B8" s="168" t="s">
        <v>13</v>
      </c>
      <c r="C8" s="168"/>
      <c r="D8" s="943">
        <f>Zusammenfassung!$C8</f>
        <v>43782</v>
      </c>
      <c r="E8" s="956"/>
      <c r="F8" s="170" t="s">
        <v>14</v>
      </c>
      <c r="G8" s="169"/>
      <c r="H8" s="169"/>
      <c r="I8" s="950">
        <f>Zusammenfassung!$I8</f>
        <v>0</v>
      </c>
      <c r="J8" s="944"/>
      <c r="K8" s="944"/>
      <c r="L8" s="944"/>
      <c r="M8" s="944"/>
      <c r="N8" s="944"/>
      <c r="O8" s="944"/>
      <c r="P8" s="169" t="s">
        <v>15</v>
      </c>
      <c r="Q8" s="171"/>
      <c r="R8" s="953" t="str">
        <f>Zusammenfassung!$M8</f>
        <v>Bewertung K. Weigand (Absprung aus PDF-QAF abgeleitet)</v>
      </c>
      <c r="S8" s="944"/>
      <c r="T8" s="944"/>
      <c r="U8" s="944"/>
      <c r="V8" s="944"/>
      <c r="W8" s="945"/>
    </row>
    <row r="9" spans="1:32" s="69" customFormat="1" ht="12" customHeight="1" thickBot="1" x14ac:dyDescent="0.4">
      <c r="A9" s="101"/>
      <c r="B9" s="101"/>
      <c r="C9" s="101"/>
      <c r="D9" s="327"/>
      <c r="E9" s="327"/>
      <c r="F9" s="328"/>
      <c r="G9" s="328"/>
      <c r="H9" s="328"/>
      <c r="I9" s="328"/>
      <c r="J9" s="328"/>
      <c r="K9" s="328"/>
      <c r="L9" s="328"/>
      <c r="M9" s="329"/>
      <c r="N9" s="329"/>
      <c r="O9" s="330"/>
      <c r="P9" s="330"/>
      <c r="Q9" s="330"/>
      <c r="R9" s="330"/>
      <c r="S9" s="330"/>
      <c r="T9" s="330"/>
      <c r="U9" s="330"/>
      <c r="V9" s="330"/>
    </row>
    <row r="10" spans="1:32" s="111" customFormat="1" ht="15" customHeight="1" thickBot="1" x14ac:dyDescent="0.5">
      <c r="B10" s="107"/>
      <c r="C10" s="108"/>
      <c r="D10" s="108" t="s">
        <v>309</v>
      </c>
      <c r="E10" s="331"/>
      <c r="F10" s="242"/>
      <c r="G10" s="228"/>
      <c r="H10" s="228"/>
      <c r="I10" s="228"/>
      <c r="J10" s="228"/>
      <c r="K10" s="174" t="s">
        <v>396</v>
      </c>
      <c r="L10" s="229"/>
      <c r="M10" s="109"/>
      <c r="N10" s="109"/>
      <c r="O10" s="229"/>
      <c r="P10" s="229"/>
      <c r="Q10" s="229"/>
      <c r="R10" s="332"/>
      <c r="S10" s="174" t="s">
        <v>223</v>
      </c>
      <c r="T10" s="174"/>
      <c r="U10" s="106"/>
      <c r="V10" s="106"/>
      <c r="W10" s="333"/>
      <c r="X10" s="334"/>
      <c r="Y10" s="308"/>
      <c r="Z10" s="109" t="s">
        <v>37</v>
      </c>
      <c r="AA10" s="109"/>
      <c r="AB10" s="228"/>
      <c r="AC10" s="335"/>
    </row>
    <row r="11" spans="1:32" s="127" customFormat="1" ht="160.5" customHeight="1" thickBot="1" x14ac:dyDescent="0.5">
      <c r="B11" s="283" t="s">
        <v>414</v>
      </c>
      <c r="C11" s="702" t="s">
        <v>49</v>
      </c>
      <c r="D11" s="114" t="s">
        <v>32</v>
      </c>
      <c r="E11" s="125" t="s">
        <v>48</v>
      </c>
      <c r="F11" s="284" t="s">
        <v>33</v>
      </c>
      <c r="G11" s="703" t="s">
        <v>38</v>
      </c>
      <c r="H11" s="120" t="s">
        <v>34</v>
      </c>
      <c r="I11" s="125" t="s">
        <v>35</v>
      </c>
      <c r="J11" s="704" t="s">
        <v>315</v>
      </c>
      <c r="K11" s="318" t="s">
        <v>950</v>
      </c>
      <c r="L11" s="318" t="s">
        <v>951</v>
      </c>
      <c r="M11" s="705" t="s">
        <v>47</v>
      </c>
      <c r="N11" s="705" t="s">
        <v>411</v>
      </c>
      <c r="O11" s="705" t="s">
        <v>343</v>
      </c>
      <c r="P11" s="705" t="s">
        <v>344</v>
      </c>
      <c r="Q11" s="706" t="s">
        <v>395</v>
      </c>
      <c r="R11" s="126" t="s">
        <v>55</v>
      </c>
      <c r="S11" s="114" t="s">
        <v>39</v>
      </c>
      <c r="T11" s="115" t="s">
        <v>392</v>
      </c>
      <c r="U11" s="123" t="s">
        <v>346</v>
      </c>
      <c r="V11" s="126" t="s">
        <v>389</v>
      </c>
      <c r="W11" s="707" t="s">
        <v>402</v>
      </c>
      <c r="Y11" s="284" t="s">
        <v>345</v>
      </c>
      <c r="Z11" s="175" t="s">
        <v>312</v>
      </c>
      <c r="AA11" s="175" t="s">
        <v>410</v>
      </c>
      <c r="AB11" s="114" t="s">
        <v>314</v>
      </c>
      <c r="AC11" s="124" t="s">
        <v>313</v>
      </c>
      <c r="AD11" s="114" t="s">
        <v>947</v>
      </c>
      <c r="AE11" s="114" t="s">
        <v>945</v>
      </c>
      <c r="AF11" s="114" t="s">
        <v>946</v>
      </c>
    </row>
    <row r="12" spans="1:32" s="130" customFormat="1" ht="26.1" hidden="1" customHeight="1" x14ac:dyDescent="0.35">
      <c r="A12" s="128"/>
      <c r="B12" s="416"/>
      <c r="C12" s="415"/>
      <c r="D12" s="414"/>
      <c r="E12" s="415"/>
      <c r="F12" s="416"/>
      <c r="G12" s="382"/>
      <c r="H12" s="414"/>
      <c r="I12" s="414"/>
      <c r="J12" s="431"/>
      <c r="K12" s="431"/>
      <c r="L12" s="432"/>
      <c r="M12" s="414"/>
      <c r="N12" s="433"/>
      <c r="O12" s="426">
        <f>IF(I12&gt;0, ((J12*K12*(1+L12) + M12)*H12/I12/3600)+N12, 0)</f>
        <v>0</v>
      </c>
      <c r="P12" s="445"/>
      <c r="Q12" s="397">
        <f t="shared" ref="Q12:Q34" si="0">IF(I12&gt;0,((J12*K12*(1+L12) + M12+ P12)*H12/I12/3600)+N12, 0)</f>
        <v>0</v>
      </c>
      <c r="R12" s="381"/>
      <c r="S12" s="386"/>
      <c r="T12" s="413"/>
      <c r="U12" s="397">
        <f>Q12*S12*T12</f>
        <v>0</v>
      </c>
      <c r="V12" s="452"/>
      <c r="W12" s="397">
        <f>U12*(1/(1-V12)-1)</f>
        <v>0</v>
      </c>
      <c r="Y12" s="418">
        <f t="shared" ref="Y12:Y34" si="1">IF(I12&gt;0, J12*K12*(L12+1)*H12/I12/3600*S12*T12, 0)</f>
        <v>0</v>
      </c>
      <c r="Z12" s="419">
        <f t="shared" ref="Z12:Z34" si="2">IF(I12&gt;0, M12*H12/I12/3600*S12*T12, 0)</f>
        <v>0</v>
      </c>
      <c r="AA12" s="419" t="str">
        <f t="shared" ref="AA12:AA34" si="3">IF(I12&gt;0,N12*S12*T12,"")</f>
        <v/>
      </c>
      <c r="AB12" s="419">
        <f t="shared" ref="AB12:AB34" si="4">O12*S12*T12</f>
        <v>0</v>
      </c>
      <c r="AC12" s="420">
        <f t="shared" ref="AC12:AC34" si="5">IF(I12&gt;0, P12*H12/I12/3600*S12*T12, 0)</f>
        <v>0</v>
      </c>
    </row>
    <row r="13" spans="1:32" s="130" customFormat="1" ht="26.1" customHeight="1" x14ac:dyDescent="0.35">
      <c r="B13" s="387">
        <v>10</v>
      </c>
      <c r="C13" s="388" t="s">
        <v>1047</v>
      </c>
      <c r="D13" s="388" t="s">
        <v>1029</v>
      </c>
      <c r="E13" s="389"/>
      <c r="F13" s="387" t="s">
        <v>1033</v>
      </c>
      <c r="G13" s="434" t="s">
        <v>65</v>
      </c>
      <c r="H13" s="388">
        <f>(4.8+6.3)*6</f>
        <v>66.599999999999994</v>
      </c>
      <c r="I13" s="388">
        <v>6</v>
      </c>
      <c r="J13" s="417">
        <v>5</v>
      </c>
      <c r="K13" s="417">
        <f>28.1*1.1</f>
        <v>30.910000000000004</v>
      </c>
      <c r="L13" s="435"/>
      <c r="M13" s="436">
        <f>MSS!X23</f>
        <v>324.86870713305899</v>
      </c>
      <c r="N13" s="436">
        <f>25/60*(J13*K13+M13+P13)/2500/I13</f>
        <v>1.6711630753696086E-2</v>
      </c>
      <c r="O13" s="427">
        <f t="shared" ref="O13:O18" si="6">IF(I13&gt;0, ((J13*K13*(1+L13) + M13)*H13/I13/3600)+N13, 0)</f>
        <v>1.4949193110806278</v>
      </c>
      <c r="P13" s="446">
        <v>122.2</v>
      </c>
      <c r="Q13" s="410">
        <f t="shared" si="0"/>
        <v>1.8717026444139611</v>
      </c>
      <c r="R13" s="447" t="s">
        <v>65</v>
      </c>
      <c r="S13" s="394">
        <v>1</v>
      </c>
      <c r="T13" s="448">
        <v>1</v>
      </c>
      <c r="U13" s="410">
        <f t="shared" ref="U13:U18" si="7">Q13*S13*T13</f>
        <v>1.8717026444139611</v>
      </c>
      <c r="V13" s="405">
        <v>0.02</v>
      </c>
      <c r="W13" s="410">
        <f t="shared" ref="W13:W18" si="8">U13*(1/(1-V13)-1)</f>
        <v>3.8198013151305367E-2</v>
      </c>
      <c r="Y13" s="411">
        <f t="shared" ref="Y13:Y17" si="9">IF(I13&gt;0, J13*K13*(L13+1)*H13/I13/3600*S13*T13, 0)</f>
        <v>0.47652916666666667</v>
      </c>
      <c r="Z13" s="412">
        <f t="shared" ref="Z13:Z17" si="10">IF(I13&gt;0, M13*H13/I13/3600*S13*T13, 0)</f>
        <v>1.0016785136602651</v>
      </c>
      <c r="AA13" s="412">
        <f t="shared" ref="AA13:AA17" si="11">IF(I13&gt;0,N13*S13*T13,"")</f>
        <v>1.6711630753696086E-2</v>
      </c>
      <c r="AB13" s="412">
        <f t="shared" ref="AB13:AB17" si="12">O13*S13*T13</f>
        <v>1.4949193110806278</v>
      </c>
      <c r="AC13" s="421">
        <f t="shared" ref="AC13:AC17" si="13">IF(I13&gt;0, P13*H13/I13/3600*S13*T13, 0)</f>
        <v>0.3767833333333333</v>
      </c>
      <c r="AD13" s="417"/>
      <c r="AE13" s="417"/>
      <c r="AF13" s="417"/>
    </row>
    <row r="14" spans="1:32" s="130" customFormat="1" ht="26.1" customHeight="1" x14ac:dyDescent="0.35">
      <c r="B14" s="387">
        <v>20</v>
      </c>
      <c r="C14" s="388"/>
      <c r="D14" s="388" t="s">
        <v>1030</v>
      </c>
      <c r="E14" s="389"/>
      <c r="F14" s="387" t="str">
        <f>F13</f>
        <v>Peterlee</v>
      </c>
      <c r="G14" s="434" t="s">
        <v>65</v>
      </c>
      <c r="H14" s="388">
        <f>25*6</f>
        <v>150</v>
      </c>
      <c r="I14" s="388">
        <v>6</v>
      </c>
      <c r="J14" s="417">
        <v>1</v>
      </c>
      <c r="K14" s="417">
        <f>K13</f>
        <v>30.910000000000004</v>
      </c>
      <c r="L14" s="435"/>
      <c r="M14" s="436">
        <f>MSS!X25</f>
        <v>69.442283950617281</v>
      </c>
      <c r="N14" s="436">
        <f>25/60*(J14*K14+M14+P14)/1500/I14</f>
        <v>1.0303346479195244E-2</v>
      </c>
      <c r="O14" s="427">
        <f t="shared" si="6"/>
        <v>0.70719420724737081</v>
      </c>
      <c r="P14" s="446">
        <f>P13</f>
        <v>122.2</v>
      </c>
      <c r="Q14" s="410">
        <f t="shared" si="0"/>
        <v>1.5558053183584819</v>
      </c>
      <c r="R14" s="447" t="s">
        <v>65</v>
      </c>
      <c r="S14" s="394">
        <v>1</v>
      </c>
      <c r="T14" s="448">
        <v>1</v>
      </c>
      <c r="U14" s="410">
        <f t="shared" si="7"/>
        <v>1.5558053183584819</v>
      </c>
      <c r="V14" s="405">
        <v>1.4999999999999999E-2</v>
      </c>
      <c r="W14" s="410">
        <f t="shared" si="8"/>
        <v>2.3692466777032618E-2</v>
      </c>
      <c r="Y14" s="411">
        <f t="shared" si="9"/>
        <v>0.2146527777777778</v>
      </c>
      <c r="Z14" s="412">
        <f t="shared" si="10"/>
        <v>0.48223808299039772</v>
      </c>
      <c r="AA14" s="412">
        <f t="shared" si="11"/>
        <v>1.0303346479195244E-2</v>
      </c>
      <c r="AB14" s="412">
        <f t="shared" si="12"/>
        <v>0.70719420724737081</v>
      </c>
      <c r="AC14" s="421">
        <f t="shared" si="13"/>
        <v>0.84861111111111109</v>
      </c>
      <c r="AD14" s="417"/>
      <c r="AE14" s="417"/>
      <c r="AF14" s="417"/>
    </row>
    <row r="15" spans="1:32" s="130" customFormat="1" ht="26.1" customHeight="1" x14ac:dyDescent="0.35">
      <c r="B15" s="387">
        <v>30</v>
      </c>
      <c r="C15" s="388"/>
      <c r="D15" s="388" t="s">
        <v>1023</v>
      </c>
      <c r="E15" s="389"/>
      <c r="F15" s="387" t="str">
        <f t="shared" ref="F15:F19" si="14">F14</f>
        <v>Peterlee</v>
      </c>
      <c r="G15" s="434" t="s">
        <v>65</v>
      </c>
      <c r="H15" s="388">
        <f>19.15*6</f>
        <v>114.89999999999999</v>
      </c>
      <c r="I15" s="388">
        <v>6</v>
      </c>
      <c r="J15" s="417">
        <v>1</v>
      </c>
      <c r="K15" s="417">
        <f t="shared" ref="K15:K17" si="15">K14</f>
        <v>30.910000000000004</v>
      </c>
      <c r="L15" s="435"/>
      <c r="M15" s="436">
        <f>MSS!X27</f>
        <v>159.32232510288065</v>
      </c>
      <c r="N15" s="436">
        <f>25/60*(J15*K15+M15+P15)/1500/I15</f>
        <v>1.4464459495503736E-2</v>
      </c>
      <c r="O15" s="427">
        <f t="shared" si="6"/>
        <v>1.0263947444177717</v>
      </c>
      <c r="P15" s="446">
        <f t="shared" ref="P15:P16" si="16">P14</f>
        <v>122.2</v>
      </c>
      <c r="Q15" s="410">
        <f t="shared" si="0"/>
        <v>1.6764308555288829</v>
      </c>
      <c r="R15" s="447" t="s">
        <v>65</v>
      </c>
      <c r="S15" s="394">
        <v>1</v>
      </c>
      <c r="T15" s="448">
        <v>1</v>
      </c>
      <c r="U15" s="410">
        <f t="shared" si="7"/>
        <v>1.6764308555288829</v>
      </c>
      <c r="V15" s="405">
        <v>0.01</v>
      </c>
      <c r="W15" s="410">
        <f t="shared" si="8"/>
        <v>1.6933645005342363E-2</v>
      </c>
      <c r="Y15" s="411">
        <f t="shared" si="9"/>
        <v>0.16442402777777779</v>
      </c>
      <c r="Z15" s="412">
        <f t="shared" si="10"/>
        <v>0.84750625714449002</v>
      </c>
      <c r="AA15" s="412">
        <f t="shared" si="11"/>
        <v>1.4464459495503736E-2</v>
      </c>
      <c r="AB15" s="412">
        <f t="shared" si="12"/>
        <v>1.0263947444177717</v>
      </c>
      <c r="AC15" s="421">
        <f t="shared" si="13"/>
        <v>0.65003611111111104</v>
      </c>
      <c r="AD15" s="417"/>
      <c r="AE15" s="417"/>
      <c r="AF15" s="417"/>
    </row>
    <row r="16" spans="1:32" s="130" customFormat="1" ht="26.1" customHeight="1" x14ac:dyDescent="0.35">
      <c r="B16" s="387">
        <v>40</v>
      </c>
      <c r="C16" s="388"/>
      <c r="D16" s="388" t="s">
        <v>1043</v>
      </c>
      <c r="E16" s="389"/>
      <c r="F16" s="387" t="str">
        <f t="shared" si="14"/>
        <v>Peterlee</v>
      </c>
      <c r="G16" s="434" t="s">
        <v>65</v>
      </c>
      <c r="H16" s="388">
        <v>21.8</v>
      </c>
      <c r="I16" s="388">
        <v>1</v>
      </c>
      <c r="J16" s="417">
        <v>1.5</v>
      </c>
      <c r="K16" s="417">
        <f t="shared" si="15"/>
        <v>30.910000000000004</v>
      </c>
      <c r="L16" s="435"/>
      <c r="M16" s="436">
        <f>MSS!X29</f>
        <v>148.85052910052912</v>
      </c>
      <c r="N16" s="436">
        <f>15/60*(J16*K16+M16+P16)/5000</f>
        <v>1.5870776455026457E-2</v>
      </c>
      <c r="O16" s="427">
        <f t="shared" si="6"/>
        <v>1.1980092582304529</v>
      </c>
      <c r="P16" s="446">
        <f t="shared" si="16"/>
        <v>122.2</v>
      </c>
      <c r="Q16" s="410">
        <f t="shared" si="0"/>
        <v>1.9379981471193417</v>
      </c>
      <c r="R16" s="447" t="s">
        <v>65</v>
      </c>
      <c r="S16" s="394">
        <v>1</v>
      </c>
      <c r="T16" s="448">
        <v>1</v>
      </c>
      <c r="U16" s="410">
        <f t="shared" si="7"/>
        <v>1.9379981471193417</v>
      </c>
      <c r="V16" s="405">
        <v>0.01</v>
      </c>
      <c r="W16" s="410">
        <f t="shared" si="8"/>
        <v>1.9575738859791456E-2</v>
      </c>
      <c r="Y16" s="411">
        <f t="shared" si="9"/>
        <v>0.28076583333333338</v>
      </c>
      <c r="Z16" s="412">
        <f t="shared" si="10"/>
        <v>0.90137264844209297</v>
      </c>
      <c r="AA16" s="412">
        <f t="shared" si="11"/>
        <v>1.5870776455026457E-2</v>
      </c>
      <c r="AB16" s="412">
        <f t="shared" si="12"/>
        <v>1.1980092582304529</v>
      </c>
      <c r="AC16" s="421">
        <f t="shared" si="13"/>
        <v>0.73998888888888892</v>
      </c>
      <c r="AD16" s="417"/>
      <c r="AE16" s="417"/>
      <c r="AF16" s="417"/>
    </row>
    <row r="17" spans="2:32" s="130" customFormat="1" ht="26.1" customHeight="1" x14ac:dyDescent="0.35">
      <c r="B17" s="387">
        <v>50</v>
      </c>
      <c r="C17" s="388"/>
      <c r="D17" s="388" t="s">
        <v>1031</v>
      </c>
      <c r="E17" s="389"/>
      <c r="F17" s="387" t="str">
        <f t="shared" si="14"/>
        <v>Peterlee</v>
      </c>
      <c r="G17" s="434" t="s">
        <v>65</v>
      </c>
      <c r="H17" s="388">
        <v>23.5</v>
      </c>
      <c r="I17" s="388">
        <v>1</v>
      </c>
      <c r="J17" s="417">
        <v>1.5</v>
      </c>
      <c r="K17" s="417">
        <f t="shared" si="15"/>
        <v>30.910000000000004</v>
      </c>
      <c r="L17" s="435"/>
      <c r="M17" s="436">
        <f>MSS!X31</f>
        <v>116.29171810699587</v>
      </c>
      <c r="N17" s="436"/>
      <c r="O17" s="427">
        <f t="shared" si="6"/>
        <v>1.0617869098651118</v>
      </c>
      <c r="P17" s="446">
        <f>P16</f>
        <v>122.2</v>
      </c>
      <c r="Q17" s="410">
        <f t="shared" si="0"/>
        <v>1.8594813543095561</v>
      </c>
      <c r="R17" s="447" t="s">
        <v>65</v>
      </c>
      <c r="S17" s="394">
        <v>1</v>
      </c>
      <c r="T17" s="448">
        <v>1</v>
      </c>
      <c r="U17" s="410">
        <f t="shared" si="7"/>
        <v>1.8594813543095561</v>
      </c>
      <c r="V17" s="405">
        <v>0.01</v>
      </c>
      <c r="W17" s="410">
        <f t="shared" si="8"/>
        <v>1.8782639942520888E-2</v>
      </c>
      <c r="Y17" s="411">
        <f t="shared" si="9"/>
        <v>0.30266041666666677</v>
      </c>
      <c r="Z17" s="412">
        <f t="shared" si="10"/>
        <v>0.75912649319844527</v>
      </c>
      <c r="AA17" s="412">
        <f t="shared" si="11"/>
        <v>0</v>
      </c>
      <c r="AB17" s="412">
        <f t="shared" si="12"/>
        <v>1.0617869098651118</v>
      </c>
      <c r="AC17" s="421">
        <f t="shared" si="13"/>
        <v>0.79769444444444448</v>
      </c>
      <c r="AD17" s="417"/>
      <c r="AE17" s="417"/>
      <c r="AF17" s="417"/>
    </row>
    <row r="18" spans="2:32" s="130" customFormat="1" ht="26.1" customHeight="1" x14ac:dyDescent="0.35">
      <c r="B18" s="387">
        <v>60</v>
      </c>
      <c r="C18" s="388"/>
      <c r="D18" s="388" t="s">
        <v>1042</v>
      </c>
      <c r="E18" s="389"/>
      <c r="F18" s="387" t="str">
        <f t="shared" si="14"/>
        <v>Peterlee</v>
      </c>
      <c r="G18" s="434" t="s">
        <v>65</v>
      </c>
      <c r="H18" s="388">
        <v>26.5</v>
      </c>
      <c r="I18" s="388">
        <v>1</v>
      </c>
      <c r="J18" s="417">
        <v>0.5</v>
      </c>
      <c r="K18" s="417">
        <f>K17</f>
        <v>30.910000000000004</v>
      </c>
      <c r="L18" s="435"/>
      <c r="M18" s="436">
        <f>MSS!X33</f>
        <v>12.014920634920635</v>
      </c>
      <c r="N18" s="436">
        <f>10/60*(J18*K18+M18+P18)/5000</f>
        <v>4.9889973544973544E-3</v>
      </c>
      <c r="O18" s="427">
        <f t="shared" si="6"/>
        <v>0.20719813536155204</v>
      </c>
      <c r="P18" s="446">
        <f>P17</f>
        <v>122.2</v>
      </c>
      <c r="Q18" s="410">
        <f t="shared" si="0"/>
        <v>1.1067259131393299</v>
      </c>
      <c r="R18" s="447" t="s">
        <v>65</v>
      </c>
      <c r="S18" s="394">
        <v>1</v>
      </c>
      <c r="T18" s="448">
        <v>1</v>
      </c>
      <c r="U18" s="410">
        <f t="shared" si="7"/>
        <v>1.1067259131393299</v>
      </c>
      <c r="V18" s="405">
        <v>8.0000000000000002E-3</v>
      </c>
      <c r="W18" s="410">
        <f t="shared" si="8"/>
        <v>8.925208976930072E-3</v>
      </c>
      <c r="Y18" s="411">
        <f t="shared" si="1"/>
        <v>0.11376597222222223</v>
      </c>
      <c r="Z18" s="412">
        <f t="shared" si="2"/>
        <v>8.8443165784832467E-2</v>
      </c>
      <c r="AA18" s="412">
        <f t="shared" si="3"/>
        <v>4.9889973544973544E-3</v>
      </c>
      <c r="AB18" s="412">
        <f t="shared" si="4"/>
        <v>0.20719813536155204</v>
      </c>
      <c r="AC18" s="421">
        <f t="shared" si="5"/>
        <v>0.89952777777777781</v>
      </c>
      <c r="AD18" s="417"/>
      <c r="AE18" s="417"/>
      <c r="AF18" s="417"/>
    </row>
    <row r="19" spans="2:32" s="130" customFormat="1" ht="26.1" customHeight="1" x14ac:dyDescent="0.35">
      <c r="B19" s="387">
        <v>70</v>
      </c>
      <c r="C19" s="388"/>
      <c r="D19" s="388" t="s">
        <v>1035</v>
      </c>
      <c r="E19" s="389"/>
      <c r="F19" s="387" t="str">
        <f t="shared" si="14"/>
        <v>Peterlee</v>
      </c>
      <c r="G19" s="434" t="s">
        <v>65</v>
      </c>
      <c r="H19" s="388">
        <v>44.4</v>
      </c>
      <c r="I19" s="388">
        <v>1</v>
      </c>
      <c r="J19" s="417">
        <v>0.5</v>
      </c>
      <c r="K19" s="417">
        <f>K18</f>
        <v>30.910000000000004</v>
      </c>
      <c r="L19" s="435"/>
      <c r="M19" s="436">
        <f>MSS!X35</f>
        <v>14.215423280423279</v>
      </c>
      <c r="N19" s="436">
        <f>10/60*(J19*K19+M19+P19)/5000</f>
        <v>5.0623474426807757E-3</v>
      </c>
      <c r="O19" s="427">
        <f t="shared" ref="O19:O33" si="17">IF(I19&gt;0, ((J19*K19*(1+L19) + M19)*H19/I19/3600)+N19, 0)</f>
        <v>0.37099756790123462</v>
      </c>
      <c r="P19" s="446">
        <f>P18</f>
        <v>122.2</v>
      </c>
      <c r="Q19" s="410">
        <f t="shared" si="0"/>
        <v>1.8781309012345677</v>
      </c>
      <c r="R19" s="447" t="s">
        <v>65</v>
      </c>
      <c r="S19" s="394">
        <v>1</v>
      </c>
      <c r="T19" s="448">
        <v>1</v>
      </c>
      <c r="U19" s="410">
        <f t="shared" ref="U19:U34" si="18">Q19*S19*T19</f>
        <v>1.8781309012345677</v>
      </c>
      <c r="V19" s="405">
        <v>0.01</v>
      </c>
      <c r="W19" s="410">
        <f t="shared" ref="W19:W34" si="19">U19*(1/(1-V19)-1)</f>
        <v>1.8971019204389695E-2</v>
      </c>
      <c r="Y19" s="411">
        <f t="shared" si="1"/>
        <v>0.19061166666666671</v>
      </c>
      <c r="Z19" s="412">
        <f t="shared" si="2"/>
        <v>0.17532355379188708</v>
      </c>
      <c r="AA19" s="412">
        <f t="shared" si="3"/>
        <v>5.0623474426807757E-3</v>
      </c>
      <c r="AB19" s="412">
        <f t="shared" si="4"/>
        <v>0.37099756790123462</v>
      </c>
      <c r="AC19" s="421">
        <f t="shared" si="5"/>
        <v>1.5071333333333334</v>
      </c>
      <c r="AD19" s="417"/>
      <c r="AE19" s="417"/>
      <c r="AF19" s="417"/>
    </row>
    <row r="20" spans="2:32" s="130" customFormat="1" ht="26.1" customHeight="1" x14ac:dyDescent="0.35">
      <c r="B20" s="387">
        <v>80</v>
      </c>
      <c r="C20" s="388"/>
      <c r="D20" s="388" t="s">
        <v>1032</v>
      </c>
      <c r="E20" s="389"/>
      <c r="F20" s="387" t="str">
        <f>F19</f>
        <v>Peterlee</v>
      </c>
      <c r="G20" s="434" t="s">
        <v>65</v>
      </c>
      <c r="H20" s="388">
        <v>19.3</v>
      </c>
      <c r="I20" s="388">
        <v>1</v>
      </c>
      <c r="J20" s="417">
        <v>1</v>
      </c>
      <c r="K20" s="417">
        <f>K19</f>
        <v>30.910000000000004</v>
      </c>
      <c r="L20" s="435"/>
      <c r="M20" s="436">
        <f>MSS!U37</f>
        <v>2.6261944444444447</v>
      </c>
      <c r="N20" s="436">
        <f>(420/25)/60*(J20*K20+M20+P20)/1500</f>
        <v>2.9070756296296296E-2</v>
      </c>
      <c r="O20" s="427">
        <f t="shared" si="17"/>
        <v>0.20886202095679013</v>
      </c>
      <c r="P20" s="446">
        <f t="shared" ref="P20" si="20">P19</f>
        <v>122.2</v>
      </c>
      <c r="Q20" s="410">
        <f t="shared" si="0"/>
        <v>0.86398979873456783</v>
      </c>
      <c r="R20" s="447" t="s">
        <v>65</v>
      </c>
      <c r="S20" s="394">
        <v>1</v>
      </c>
      <c r="T20" s="448">
        <v>1</v>
      </c>
      <c r="U20" s="410">
        <f>Q20*S20*T20</f>
        <v>0.86398979873456783</v>
      </c>
      <c r="V20" s="405">
        <v>0.01</v>
      </c>
      <c r="W20" s="410">
        <f>U20*(1/(1-V20)-1)</f>
        <v>8.7271696841876092E-3</v>
      </c>
      <c r="Y20" s="411">
        <f t="shared" si="1"/>
        <v>0.16571194444444448</v>
      </c>
      <c r="Z20" s="412">
        <f t="shared" si="2"/>
        <v>1.4079320216049384E-2</v>
      </c>
      <c r="AA20" s="412">
        <f t="shared" si="3"/>
        <v>2.9070756296296296E-2</v>
      </c>
      <c r="AB20" s="412">
        <f t="shared" si="4"/>
        <v>0.20886202095679013</v>
      </c>
      <c r="AC20" s="421">
        <f t="shared" si="5"/>
        <v>0.65512777777777775</v>
      </c>
      <c r="AD20" s="417"/>
      <c r="AE20" s="417"/>
      <c r="AF20" s="417"/>
    </row>
    <row r="21" spans="2:32" s="130" customFormat="1" ht="26.1" customHeight="1" x14ac:dyDescent="0.35">
      <c r="B21" s="655"/>
      <c r="C21" s="873"/>
      <c r="D21" s="656"/>
      <c r="E21" s="657"/>
      <c r="F21" s="655"/>
      <c r="G21" s="864"/>
      <c r="H21" s="656"/>
      <c r="I21" s="656"/>
      <c r="J21" s="865"/>
      <c r="K21" s="865"/>
      <c r="L21" s="866"/>
      <c r="M21" s="867"/>
      <c r="N21" s="867"/>
      <c r="O21" s="868">
        <f t="shared" si="17"/>
        <v>0</v>
      </c>
      <c r="P21" s="869"/>
      <c r="Q21" s="870">
        <f t="shared" si="0"/>
        <v>0</v>
      </c>
      <c r="R21" s="871"/>
      <c r="S21" s="662"/>
      <c r="T21" s="872"/>
      <c r="U21" s="870"/>
      <c r="V21" s="669"/>
      <c r="W21" s="870">
        <f>U21*(1/(1-V21)-1)</f>
        <v>0</v>
      </c>
      <c r="Y21" s="411">
        <f t="shared" si="1"/>
        <v>0</v>
      </c>
      <c r="Z21" s="412">
        <f t="shared" si="2"/>
        <v>0</v>
      </c>
      <c r="AA21" s="412" t="str">
        <f t="shared" si="3"/>
        <v/>
      </c>
      <c r="AB21" s="412">
        <f t="shared" si="4"/>
        <v>0</v>
      </c>
      <c r="AC21" s="421">
        <f t="shared" si="5"/>
        <v>0</v>
      </c>
      <c r="AD21" s="417"/>
      <c r="AE21" s="417"/>
      <c r="AF21" s="417"/>
    </row>
    <row r="22" spans="2:32" s="130" customFormat="1" ht="26.1" customHeight="1" x14ac:dyDescent="0.35">
      <c r="B22" s="387"/>
      <c r="C22" s="388"/>
      <c r="D22" s="388"/>
      <c r="E22" s="389"/>
      <c r="F22" s="387"/>
      <c r="G22" s="434"/>
      <c r="H22" s="388"/>
      <c r="I22" s="388"/>
      <c r="J22" s="417"/>
      <c r="K22" s="417"/>
      <c r="L22" s="435"/>
      <c r="M22" s="436"/>
      <c r="N22" s="436"/>
      <c r="O22" s="427"/>
      <c r="P22" s="446"/>
      <c r="Q22" s="410"/>
      <c r="R22" s="447"/>
      <c r="S22" s="394"/>
      <c r="T22" s="448"/>
      <c r="U22" s="410"/>
      <c r="V22" s="405"/>
      <c r="W22" s="410">
        <f t="shared" ref="W22:W28" si="21">U22*(1/(1-V22)-1)</f>
        <v>0</v>
      </c>
      <c r="Y22" s="411">
        <f t="shared" si="1"/>
        <v>0</v>
      </c>
      <c r="Z22" s="412">
        <f t="shared" si="2"/>
        <v>0</v>
      </c>
      <c r="AA22" s="412" t="str">
        <f t="shared" si="3"/>
        <v/>
      </c>
      <c r="AB22" s="412">
        <f t="shared" si="4"/>
        <v>0</v>
      </c>
      <c r="AC22" s="421">
        <f t="shared" si="5"/>
        <v>0</v>
      </c>
      <c r="AD22" s="417"/>
      <c r="AE22" s="417"/>
      <c r="AF22" s="417"/>
    </row>
    <row r="23" spans="2:32" s="130" customFormat="1" ht="26.1" customHeight="1" x14ac:dyDescent="0.35">
      <c r="B23" s="387"/>
      <c r="C23" s="388"/>
      <c r="D23" s="388"/>
      <c r="E23" s="389"/>
      <c r="F23" s="387"/>
      <c r="G23" s="434"/>
      <c r="H23" s="388"/>
      <c r="I23" s="388"/>
      <c r="J23" s="417"/>
      <c r="K23" s="417"/>
      <c r="L23" s="435"/>
      <c r="M23" s="436"/>
      <c r="N23" s="436"/>
      <c r="O23" s="427">
        <f t="shared" si="17"/>
        <v>0</v>
      </c>
      <c r="P23" s="446"/>
      <c r="Q23" s="410">
        <f t="shared" si="0"/>
        <v>0</v>
      </c>
      <c r="R23" s="447"/>
      <c r="S23" s="394"/>
      <c r="T23" s="448"/>
      <c r="U23" s="410"/>
      <c r="V23" s="405"/>
      <c r="W23" s="410">
        <f t="shared" si="21"/>
        <v>0</v>
      </c>
      <c r="Y23" s="411">
        <f t="shared" si="1"/>
        <v>0</v>
      </c>
      <c r="Z23" s="412">
        <f t="shared" si="2"/>
        <v>0</v>
      </c>
      <c r="AA23" s="412" t="str">
        <f t="shared" si="3"/>
        <v/>
      </c>
      <c r="AB23" s="412">
        <f t="shared" si="4"/>
        <v>0</v>
      </c>
      <c r="AC23" s="421">
        <f t="shared" si="5"/>
        <v>0</v>
      </c>
      <c r="AD23" s="417"/>
      <c r="AE23" s="417"/>
      <c r="AF23" s="417"/>
    </row>
    <row r="24" spans="2:32" s="130" customFormat="1" ht="26.1" customHeight="1" x14ac:dyDescent="0.35">
      <c r="B24" s="387"/>
      <c r="C24" s="388"/>
      <c r="D24" s="388"/>
      <c r="E24" s="389"/>
      <c r="F24" s="387"/>
      <c r="G24" s="434"/>
      <c r="H24" s="388"/>
      <c r="I24" s="388"/>
      <c r="J24" s="417"/>
      <c r="K24" s="417"/>
      <c r="L24" s="435"/>
      <c r="M24" s="436"/>
      <c r="N24" s="436"/>
      <c r="O24" s="427">
        <f t="shared" si="17"/>
        <v>0</v>
      </c>
      <c r="P24" s="446"/>
      <c r="Q24" s="410">
        <f t="shared" si="0"/>
        <v>0</v>
      </c>
      <c r="R24" s="447"/>
      <c r="S24" s="394"/>
      <c r="T24" s="448"/>
      <c r="U24" s="410"/>
      <c r="V24" s="405"/>
      <c r="W24" s="410">
        <f t="shared" si="21"/>
        <v>0</v>
      </c>
      <c r="Y24" s="411">
        <f t="shared" si="1"/>
        <v>0</v>
      </c>
      <c r="Z24" s="412">
        <f t="shared" si="2"/>
        <v>0</v>
      </c>
      <c r="AA24" s="412" t="str">
        <f t="shared" si="3"/>
        <v/>
      </c>
      <c r="AB24" s="412">
        <f t="shared" si="4"/>
        <v>0</v>
      </c>
      <c r="AC24" s="421">
        <f t="shared" si="5"/>
        <v>0</v>
      </c>
      <c r="AD24" s="417"/>
      <c r="AE24" s="417"/>
      <c r="AF24" s="417"/>
    </row>
    <row r="25" spans="2:32" s="130" customFormat="1" ht="26.1" customHeight="1" x14ac:dyDescent="0.35">
      <c r="B25" s="387"/>
      <c r="C25" s="388"/>
      <c r="D25" s="388"/>
      <c r="E25" s="389"/>
      <c r="F25" s="387"/>
      <c r="G25" s="434"/>
      <c r="H25" s="388"/>
      <c r="I25" s="388"/>
      <c r="J25" s="417"/>
      <c r="K25" s="417"/>
      <c r="L25" s="435"/>
      <c r="M25" s="436"/>
      <c r="N25" s="436"/>
      <c r="O25" s="427">
        <f t="shared" si="17"/>
        <v>0</v>
      </c>
      <c r="P25" s="446"/>
      <c r="Q25" s="410">
        <f t="shared" si="0"/>
        <v>0</v>
      </c>
      <c r="R25" s="447"/>
      <c r="S25" s="394"/>
      <c r="T25" s="448"/>
      <c r="U25" s="410"/>
      <c r="V25" s="405"/>
      <c r="W25" s="410">
        <f t="shared" si="21"/>
        <v>0</v>
      </c>
      <c r="Y25" s="411">
        <f t="shared" si="1"/>
        <v>0</v>
      </c>
      <c r="Z25" s="412">
        <f t="shared" si="2"/>
        <v>0</v>
      </c>
      <c r="AA25" s="412" t="str">
        <f t="shared" si="3"/>
        <v/>
      </c>
      <c r="AB25" s="412">
        <f t="shared" si="4"/>
        <v>0</v>
      </c>
      <c r="AC25" s="421">
        <f t="shared" si="5"/>
        <v>0</v>
      </c>
      <c r="AD25" s="417"/>
      <c r="AE25" s="417"/>
      <c r="AF25" s="417"/>
    </row>
    <row r="26" spans="2:32" s="130" customFormat="1" ht="26.1" customHeight="1" x14ac:dyDescent="0.35">
      <c r="B26" s="387"/>
      <c r="C26" s="388"/>
      <c r="D26" s="388"/>
      <c r="E26" s="389"/>
      <c r="F26" s="387"/>
      <c r="G26" s="434"/>
      <c r="H26" s="388"/>
      <c r="I26" s="388"/>
      <c r="J26" s="417"/>
      <c r="K26" s="417"/>
      <c r="L26" s="435"/>
      <c r="M26" s="436"/>
      <c r="N26" s="436"/>
      <c r="O26" s="427">
        <f t="shared" si="17"/>
        <v>0</v>
      </c>
      <c r="P26" s="446"/>
      <c r="Q26" s="410">
        <f t="shared" si="0"/>
        <v>0</v>
      </c>
      <c r="R26" s="447"/>
      <c r="S26" s="394"/>
      <c r="T26" s="448"/>
      <c r="U26" s="410"/>
      <c r="V26" s="405"/>
      <c r="W26" s="410">
        <f t="shared" si="21"/>
        <v>0</v>
      </c>
      <c r="Y26" s="411">
        <f t="shared" si="1"/>
        <v>0</v>
      </c>
      <c r="Z26" s="412">
        <f t="shared" si="2"/>
        <v>0</v>
      </c>
      <c r="AA26" s="412" t="str">
        <f t="shared" si="3"/>
        <v/>
      </c>
      <c r="AB26" s="412">
        <f t="shared" si="4"/>
        <v>0</v>
      </c>
      <c r="AC26" s="421">
        <f t="shared" si="5"/>
        <v>0</v>
      </c>
      <c r="AD26" s="417"/>
      <c r="AE26" s="417"/>
      <c r="AF26" s="417"/>
    </row>
    <row r="27" spans="2:32" s="130" customFormat="1" ht="26.1" customHeight="1" x14ac:dyDescent="0.35">
      <c r="B27" s="387"/>
      <c r="C27" s="388"/>
      <c r="D27" s="388"/>
      <c r="E27" s="389"/>
      <c r="F27" s="387"/>
      <c r="G27" s="434"/>
      <c r="H27" s="388"/>
      <c r="I27" s="388"/>
      <c r="J27" s="417"/>
      <c r="K27" s="417"/>
      <c r="L27" s="435"/>
      <c r="M27" s="436"/>
      <c r="N27" s="436"/>
      <c r="O27" s="427">
        <f t="shared" si="17"/>
        <v>0</v>
      </c>
      <c r="P27" s="446"/>
      <c r="Q27" s="410">
        <f t="shared" si="0"/>
        <v>0</v>
      </c>
      <c r="R27" s="447"/>
      <c r="S27" s="394"/>
      <c r="T27" s="448"/>
      <c r="U27" s="410"/>
      <c r="V27" s="405"/>
      <c r="W27" s="410">
        <f t="shared" si="21"/>
        <v>0</v>
      </c>
      <c r="Y27" s="411">
        <f t="shared" si="1"/>
        <v>0</v>
      </c>
      <c r="Z27" s="412">
        <f t="shared" si="2"/>
        <v>0</v>
      </c>
      <c r="AA27" s="412" t="str">
        <f t="shared" si="3"/>
        <v/>
      </c>
      <c r="AB27" s="412">
        <f t="shared" si="4"/>
        <v>0</v>
      </c>
      <c r="AC27" s="421">
        <f t="shared" si="5"/>
        <v>0</v>
      </c>
      <c r="AD27" s="417"/>
      <c r="AE27" s="417"/>
      <c r="AF27" s="417"/>
    </row>
    <row r="28" spans="2:32" s="130" customFormat="1" ht="26.1" customHeight="1" x14ac:dyDescent="0.35">
      <c r="B28" s="387"/>
      <c r="C28" s="388"/>
      <c r="D28" s="388"/>
      <c r="E28" s="389"/>
      <c r="F28" s="387"/>
      <c r="G28" s="434"/>
      <c r="H28" s="388"/>
      <c r="I28" s="388"/>
      <c r="J28" s="417"/>
      <c r="K28" s="417"/>
      <c r="L28" s="435"/>
      <c r="M28" s="436"/>
      <c r="N28" s="436"/>
      <c r="O28" s="427">
        <f t="shared" si="17"/>
        <v>0</v>
      </c>
      <c r="P28" s="446"/>
      <c r="Q28" s="410">
        <f t="shared" si="0"/>
        <v>0</v>
      </c>
      <c r="R28" s="447"/>
      <c r="S28" s="394"/>
      <c r="T28" s="448"/>
      <c r="U28" s="410"/>
      <c r="V28" s="405"/>
      <c r="W28" s="410">
        <f t="shared" si="21"/>
        <v>0</v>
      </c>
      <c r="Y28" s="411">
        <f t="shared" si="1"/>
        <v>0</v>
      </c>
      <c r="Z28" s="412">
        <f t="shared" si="2"/>
        <v>0</v>
      </c>
      <c r="AA28" s="412" t="str">
        <f t="shared" si="3"/>
        <v/>
      </c>
      <c r="AB28" s="412">
        <f t="shared" si="4"/>
        <v>0</v>
      </c>
      <c r="AC28" s="421">
        <f t="shared" si="5"/>
        <v>0</v>
      </c>
      <c r="AD28" s="417"/>
      <c r="AE28" s="417"/>
      <c r="AF28" s="417"/>
    </row>
    <row r="29" spans="2:32" s="130" customFormat="1" ht="26.1" hidden="1" customHeight="1" x14ac:dyDescent="0.35">
      <c r="B29" s="387"/>
      <c r="C29" s="388"/>
      <c r="D29" s="388"/>
      <c r="E29" s="389"/>
      <c r="F29" s="387"/>
      <c r="G29" s="434"/>
      <c r="H29" s="388"/>
      <c r="I29" s="388"/>
      <c r="J29" s="417"/>
      <c r="K29" s="417"/>
      <c r="L29" s="435"/>
      <c r="M29" s="436"/>
      <c r="N29" s="436"/>
      <c r="O29" s="427">
        <f t="shared" si="17"/>
        <v>0</v>
      </c>
      <c r="P29" s="446"/>
      <c r="Q29" s="410">
        <f t="shared" si="0"/>
        <v>0</v>
      </c>
      <c r="R29" s="447"/>
      <c r="S29" s="394"/>
      <c r="T29" s="448"/>
      <c r="U29" s="410">
        <f>Q29*S29*T29</f>
        <v>0</v>
      </c>
      <c r="V29" s="405"/>
      <c r="W29" s="410">
        <f>U29*(1/(1-V29)-1)</f>
        <v>0</v>
      </c>
      <c r="Y29" s="411">
        <f t="shared" si="1"/>
        <v>0</v>
      </c>
      <c r="Z29" s="412">
        <f t="shared" si="2"/>
        <v>0</v>
      </c>
      <c r="AA29" s="412" t="str">
        <f t="shared" si="3"/>
        <v/>
      </c>
      <c r="AB29" s="412">
        <f t="shared" si="4"/>
        <v>0</v>
      </c>
      <c r="AC29" s="421">
        <f t="shared" si="5"/>
        <v>0</v>
      </c>
      <c r="AD29" s="417"/>
      <c r="AE29" s="417"/>
      <c r="AF29" s="417"/>
    </row>
    <row r="30" spans="2:32" s="130" customFormat="1" ht="26.1" hidden="1" customHeight="1" x14ac:dyDescent="0.35">
      <c r="B30" s="387"/>
      <c r="C30" s="388"/>
      <c r="D30" s="388"/>
      <c r="E30" s="389"/>
      <c r="F30" s="387"/>
      <c r="G30" s="434"/>
      <c r="H30" s="388"/>
      <c r="I30" s="388"/>
      <c r="J30" s="417"/>
      <c r="K30" s="417"/>
      <c r="L30" s="435"/>
      <c r="M30" s="388"/>
      <c r="N30" s="436"/>
      <c r="O30" s="427">
        <f t="shared" si="17"/>
        <v>0</v>
      </c>
      <c r="P30" s="446"/>
      <c r="Q30" s="410">
        <f t="shared" si="0"/>
        <v>0</v>
      </c>
      <c r="R30" s="447"/>
      <c r="S30" s="394"/>
      <c r="T30" s="448"/>
      <c r="U30" s="410">
        <f>Q30*S30*T30</f>
        <v>0</v>
      </c>
      <c r="V30" s="405"/>
      <c r="W30" s="410">
        <f>U30*(1/(1-V30)-1)</f>
        <v>0</v>
      </c>
      <c r="Y30" s="411">
        <f t="shared" si="1"/>
        <v>0</v>
      </c>
      <c r="Z30" s="412">
        <f t="shared" si="2"/>
        <v>0</v>
      </c>
      <c r="AA30" s="412" t="str">
        <f t="shared" si="3"/>
        <v/>
      </c>
      <c r="AB30" s="412">
        <f t="shared" si="4"/>
        <v>0</v>
      </c>
      <c r="AC30" s="421">
        <f t="shared" si="5"/>
        <v>0</v>
      </c>
      <c r="AD30" s="417"/>
      <c r="AE30" s="417"/>
      <c r="AF30" s="417"/>
    </row>
    <row r="31" spans="2:32" s="130" customFormat="1" ht="26.1" hidden="1" customHeight="1" x14ac:dyDescent="0.35">
      <c r="B31" s="387"/>
      <c r="C31" s="388"/>
      <c r="D31" s="388"/>
      <c r="E31" s="389"/>
      <c r="F31" s="387"/>
      <c r="G31" s="434"/>
      <c r="H31" s="388"/>
      <c r="I31" s="388"/>
      <c r="J31" s="417"/>
      <c r="K31" s="417"/>
      <c r="L31" s="435"/>
      <c r="M31" s="388"/>
      <c r="N31" s="436"/>
      <c r="O31" s="427">
        <f t="shared" si="17"/>
        <v>0</v>
      </c>
      <c r="P31" s="446"/>
      <c r="Q31" s="410">
        <f t="shared" si="0"/>
        <v>0</v>
      </c>
      <c r="R31" s="447"/>
      <c r="S31" s="394"/>
      <c r="T31" s="448"/>
      <c r="U31" s="410">
        <f t="shared" si="18"/>
        <v>0</v>
      </c>
      <c r="V31" s="405"/>
      <c r="W31" s="410">
        <f t="shared" si="19"/>
        <v>0</v>
      </c>
      <c r="Y31" s="411">
        <f t="shared" si="1"/>
        <v>0</v>
      </c>
      <c r="Z31" s="412">
        <f t="shared" si="2"/>
        <v>0</v>
      </c>
      <c r="AA31" s="412" t="str">
        <f t="shared" si="3"/>
        <v/>
      </c>
      <c r="AB31" s="412">
        <f t="shared" si="4"/>
        <v>0</v>
      </c>
      <c r="AC31" s="421">
        <f t="shared" si="5"/>
        <v>0</v>
      </c>
      <c r="AD31" s="417"/>
      <c r="AE31" s="417"/>
      <c r="AF31" s="417"/>
    </row>
    <row r="32" spans="2:32" s="130" customFormat="1" ht="26.1" hidden="1" customHeight="1" x14ac:dyDescent="0.35">
      <c r="B32" s="387"/>
      <c r="C32" s="388"/>
      <c r="D32" s="388"/>
      <c r="E32" s="389"/>
      <c r="F32" s="387"/>
      <c r="G32" s="434"/>
      <c r="H32" s="388"/>
      <c r="I32" s="388"/>
      <c r="J32" s="417"/>
      <c r="K32" s="417"/>
      <c r="L32" s="435"/>
      <c r="M32" s="388"/>
      <c r="N32" s="436"/>
      <c r="O32" s="427">
        <f t="shared" si="17"/>
        <v>0</v>
      </c>
      <c r="P32" s="446"/>
      <c r="Q32" s="410">
        <f t="shared" si="0"/>
        <v>0</v>
      </c>
      <c r="R32" s="447"/>
      <c r="S32" s="394"/>
      <c r="T32" s="448"/>
      <c r="U32" s="410">
        <f t="shared" si="18"/>
        <v>0</v>
      </c>
      <c r="V32" s="405"/>
      <c r="W32" s="410">
        <f t="shared" si="19"/>
        <v>0</v>
      </c>
      <c r="Y32" s="411">
        <f t="shared" si="1"/>
        <v>0</v>
      </c>
      <c r="Z32" s="412">
        <f t="shared" si="2"/>
        <v>0</v>
      </c>
      <c r="AA32" s="412" t="str">
        <f t="shared" si="3"/>
        <v/>
      </c>
      <c r="AB32" s="412">
        <f t="shared" si="4"/>
        <v>0</v>
      </c>
      <c r="AC32" s="421">
        <f t="shared" si="5"/>
        <v>0</v>
      </c>
      <c r="AD32" s="417"/>
      <c r="AE32" s="417"/>
      <c r="AF32" s="417"/>
    </row>
    <row r="33" spans="1:32" s="130" customFormat="1" ht="26.1" hidden="1" customHeight="1" x14ac:dyDescent="0.35">
      <c r="B33" s="387"/>
      <c r="C33" s="388"/>
      <c r="D33" s="388"/>
      <c r="E33" s="389"/>
      <c r="F33" s="387"/>
      <c r="G33" s="434"/>
      <c r="H33" s="388"/>
      <c r="I33" s="388"/>
      <c r="J33" s="417"/>
      <c r="K33" s="417"/>
      <c r="L33" s="435"/>
      <c r="M33" s="388"/>
      <c r="N33" s="436"/>
      <c r="O33" s="427">
        <f t="shared" si="17"/>
        <v>0</v>
      </c>
      <c r="P33" s="446"/>
      <c r="Q33" s="410">
        <f t="shared" si="0"/>
        <v>0</v>
      </c>
      <c r="R33" s="447"/>
      <c r="S33" s="394"/>
      <c r="T33" s="448"/>
      <c r="U33" s="410">
        <f t="shared" si="18"/>
        <v>0</v>
      </c>
      <c r="V33" s="405"/>
      <c r="W33" s="410">
        <f t="shared" si="19"/>
        <v>0</v>
      </c>
      <c r="Y33" s="411">
        <f t="shared" si="1"/>
        <v>0</v>
      </c>
      <c r="Z33" s="412">
        <f t="shared" si="2"/>
        <v>0</v>
      </c>
      <c r="AA33" s="412" t="str">
        <f t="shared" si="3"/>
        <v/>
      </c>
      <c r="AB33" s="412">
        <f t="shared" si="4"/>
        <v>0</v>
      </c>
      <c r="AC33" s="421">
        <f t="shared" si="5"/>
        <v>0</v>
      </c>
      <c r="AD33" s="417"/>
      <c r="AE33" s="417"/>
      <c r="AF33" s="417"/>
    </row>
    <row r="34" spans="1:32" s="130" customFormat="1" ht="26.1" customHeight="1" thickBot="1" x14ac:dyDescent="0.4">
      <c r="B34" s="437"/>
      <c r="C34" s="438"/>
      <c r="D34" s="439"/>
      <c r="E34" s="440"/>
      <c r="F34" s="441"/>
      <c r="G34" s="442"/>
      <c r="H34" s="439"/>
      <c r="I34" s="439"/>
      <c r="J34" s="443"/>
      <c r="K34" s="443"/>
      <c r="L34" s="442"/>
      <c r="M34" s="444"/>
      <c r="N34" s="875"/>
      <c r="O34" s="874"/>
      <c r="P34" s="444"/>
      <c r="Q34" s="425">
        <f t="shared" si="0"/>
        <v>0</v>
      </c>
      <c r="R34" s="449"/>
      <c r="S34" s="450"/>
      <c r="T34" s="451"/>
      <c r="U34" s="425">
        <f t="shared" si="18"/>
        <v>0</v>
      </c>
      <c r="V34" s="453"/>
      <c r="W34" s="425">
        <f t="shared" si="19"/>
        <v>0</v>
      </c>
      <c r="Y34" s="422">
        <f t="shared" si="1"/>
        <v>0</v>
      </c>
      <c r="Z34" s="423">
        <f t="shared" si="2"/>
        <v>0</v>
      </c>
      <c r="AA34" s="423" t="str">
        <f t="shared" si="3"/>
        <v/>
      </c>
      <c r="AB34" s="423">
        <f t="shared" si="4"/>
        <v>0</v>
      </c>
      <c r="AC34" s="424">
        <f t="shared" si="5"/>
        <v>0</v>
      </c>
      <c r="AD34" s="417"/>
      <c r="AE34" s="417"/>
      <c r="AF34" s="417"/>
    </row>
    <row r="35" spans="1:32" s="131" customFormat="1" ht="12" customHeight="1" thickBot="1" x14ac:dyDescent="0.4">
      <c r="C35" s="132"/>
      <c r="D35" s="134"/>
      <c r="E35" s="134"/>
      <c r="F35" s="134"/>
      <c r="G35" s="135"/>
      <c r="H35" s="134"/>
      <c r="I35" s="134"/>
      <c r="J35" s="135"/>
      <c r="K35" s="135"/>
      <c r="L35" s="135"/>
      <c r="M35" s="134"/>
      <c r="N35" s="151"/>
      <c r="O35" s="137"/>
      <c r="P35" s="134"/>
      <c r="Q35" s="134"/>
      <c r="R35" s="135"/>
      <c r="S35" s="135"/>
      <c r="T35" s="135"/>
    </row>
    <row r="36" spans="1:32" ht="17.100000000000001" customHeight="1" x14ac:dyDescent="0.35">
      <c r="A36" s="131"/>
      <c r="B36" s="138" t="s">
        <v>58</v>
      </c>
      <c r="C36" s="141"/>
      <c r="D36" s="141"/>
      <c r="E36" s="141"/>
      <c r="F36" s="141"/>
      <c r="G36" s="859"/>
      <c r="H36" s="860"/>
      <c r="I36" s="141"/>
      <c r="J36" s="141"/>
      <c r="K36" s="142"/>
      <c r="L36" s="338" t="s">
        <v>381</v>
      </c>
      <c r="M36" s="339" t="s">
        <v>373</v>
      </c>
      <c r="N36" s="339" t="s">
        <v>409</v>
      </c>
      <c r="O36" s="339" t="s">
        <v>382</v>
      </c>
      <c r="P36" s="340" t="s">
        <v>413</v>
      </c>
      <c r="Q36" s="572"/>
      <c r="R36" s="573"/>
      <c r="S36" s="573"/>
      <c r="T36" s="573"/>
      <c r="U36" s="142" t="s">
        <v>370</v>
      </c>
      <c r="V36" s="573"/>
      <c r="W36" s="143" t="s">
        <v>380</v>
      </c>
    </row>
    <row r="37" spans="1:32" ht="17.100000000000001" customHeight="1" x14ac:dyDescent="0.35">
      <c r="B37" s="145"/>
      <c r="C37" s="341"/>
      <c r="D37" s="341"/>
      <c r="E37" s="341"/>
      <c r="F37" s="341"/>
      <c r="G37" s="341"/>
      <c r="H37" s="341"/>
      <c r="I37" s="341"/>
      <c r="J37" s="341"/>
      <c r="K37" s="150" t="str">
        <f>Zusammenfassung!$C$26</f>
        <v>USD</v>
      </c>
      <c r="L37" s="429">
        <f ca="1">SUMIF(INDIRECT("$R12:$R"&amp;EndZProcesses),$K37,INDIRECT("Y12:Y"&amp;EndZProcesses))</f>
        <v>1.9091218055555559</v>
      </c>
      <c r="M37" s="429">
        <f ca="1">SUMIF(INDIRECT("$R12:$R"&amp;EndZProcesses),$K37,INDIRECT("Z12:Z"&amp;EndZProcesses))</f>
        <v>4.2697680352284593</v>
      </c>
      <c r="N37" s="429">
        <f ca="1">SUMIF(INDIRECT("$R12:$R"&amp;EndZProcesses),$K37,INDIRECT("AA12:AA"&amp;EndZProcesses))</f>
        <v>9.6472314276895954E-2</v>
      </c>
      <c r="O37" s="429">
        <f ca="1">SUMIF(INDIRECT("$R12:$R"&amp;EndZProcesses),$K37,INDIRECT("AB12:AB"&amp;EndZProcesses))</f>
        <v>6.2753621550609111</v>
      </c>
      <c r="P37" s="429">
        <f ca="1">SUMIF(INDIRECT("$R12:$R"&amp;EndZProcesses),$K37,INDIRECT("AC12:AC"&amp;EndZProcesses))</f>
        <v>6.4749027777777775</v>
      </c>
      <c r="Q37" s="863">
        <f ca="1">P37/O37</f>
        <v>1.0317974672674377</v>
      </c>
      <c r="R37" s="862" t="s">
        <v>1041</v>
      </c>
      <c r="S37" s="861"/>
      <c r="T37" s="577"/>
      <c r="U37" s="429">
        <f ca="1">SUMIF(INDIRECT("$R12:$R"&amp;EndZProcesses),$K37,INDIRECT("U12:U"&amp;EndZProcesses))</f>
        <v>12.750264932838691</v>
      </c>
      <c r="V37" s="586"/>
      <c r="W37" s="428">
        <f ca="1">SUMIF(INDIRECT("$R12:$R"&amp;EndZProcesses),$K37,INDIRECT("W12:W"&amp;EndZProcesses))</f>
        <v>0.15380590160150007</v>
      </c>
    </row>
    <row r="38" spans="1:32" ht="17.100000000000001" customHeight="1" x14ac:dyDescent="0.35">
      <c r="B38" s="145"/>
      <c r="C38" s="341"/>
      <c r="D38" s="341"/>
      <c r="E38" s="341"/>
      <c r="F38" s="341"/>
      <c r="G38" s="341"/>
      <c r="H38" s="341"/>
      <c r="I38" s="341"/>
      <c r="J38" s="341"/>
      <c r="K38" s="155">
        <f>Zusammenfassung!$C$27</f>
        <v>0</v>
      </c>
      <c r="L38" s="430">
        <f ca="1">SUMIF(INDIRECT("$R12:$R"&amp;EndZProcesses),$K38,INDIRECT("Y12:Y"&amp;EndZProcesses))</f>
        <v>0</v>
      </c>
      <c r="M38" s="430">
        <f ca="1">SUMIF(INDIRECT("$R12:$R"&amp;EndZProcesses),$K38,INDIRECT("Z12:Z"&amp;EndZProcesses))</f>
        <v>0</v>
      </c>
      <c r="N38" s="430">
        <f ca="1">SUMIF(INDIRECT("$R12:$R"&amp;EndZProcesses),$K38,INDIRECT("AA12:AA"&amp;EndZProcesses))</f>
        <v>0</v>
      </c>
      <c r="O38" s="430">
        <f ca="1">SUMIF(INDIRECT("$R12:$R"&amp;EndZProcesses),$K38,INDIRECT("AB12:AB"&amp;EndZProcesses))</f>
        <v>0</v>
      </c>
      <c r="P38" s="430">
        <f ca="1">SUMIF(INDIRECT("$R12:$R"&amp;EndZProcesses),$K38,INDIRECT("AC12:AC"&amp;EndZProcesses))</f>
        <v>0</v>
      </c>
      <c r="Q38" s="575"/>
      <c r="R38" s="576"/>
      <c r="S38" s="576"/>
      <c r="T38" s="578"/>
      <c r="U38" s="430">
        <f ca="1">SUMIF(INDIRECT("$R12:$R"&amp;EndZProcesses),$K38,INDIRECT("U12:U"&amp;EndZProcesses))</f>
        <v>0</v>
      </c>
      <c r="V38" s="586"/>
      <c r="W38" s="548">
        <f ca="1">SUMIF(INDIRECT("$R12:$R"&amp;EndZProcesses),$K38,INDIRECT("W12:W"&amp;EndZProcesses))</f>
        <v>0</v>
      </c>
    </row>
    <row r="39" spans="1:32" ht="17.100000000000001" customHeight="1" thickBot="1" x14ac:dyDescent="0.4">
      <c r="B39" s="326" t="s">
        <v>407</v>
      </c>
      <c r="C39" s="342"/>
      <c r="D39" s="342"/>
      <c r="E39" s="342"/>
      <c r="F39" s="342"/>
      <c r="G39" s="342"/>
      <c r="H39" s="342"/>
      <c r="I39" s="342"/>
      <c r="J39" s="342"/>
      <c r="K39" s="161">
        <f>Zusammenfassung!$C$28</f>
        <v>0</v>
      </c>
      <c r="L39" s="550">
        <f ca="1">SUMIF(INDIRECT("$R12:$R"&amp;EndZProcesses),$K39,INDIRECT("Y12:Y"&amp;EndZProcesses))</f>
        <v>0</v>
      </c>
      <c r="M39" s="550">
        <f ca="1">SUMIF(INDIRECT("$R12:$R"&amp;EndZProcesses),$K39,INDIRECT("Z12:Z"&amp;EndZProcesses))</f>
        <v>0</v>
      </c>
      <c r="N39" s="550">
        <f ca="1">SUMIF(INDIRECT("$R12:$R"&amp;EndZProcesses),$K39,INDIRECT("AA12:AA"&amp;EndZProcesses))</f>
        <v>0</v>
      </c>
      <c r="O39" s="550">
        <f ca="1">SUMIF(INDIRECT("$R12:$R"&amp;EndZProcesses),$K39,INDIRECT("AB12:AB"&amp;EndZProcesses))</f>
        <v>0</v>
      </c>
      <c r="P39" s="550">
        <f ca="1">SUMIF(INDIRECT("$R12:$R"&amp;EndZProcesses),$K39,INDIRECT("AC12:AC"&amp;EndZProcesses))</f>
        <v>0</v>
      </c>
      <c r="Q39" s="574"/>
      <c r="R39" s="574"/>
      <c r="S39" s="574"/>
      <c r="T39" s="857" t="s">
        <v>1024</v>
      </c>
      <c r="U39" s="856">
        <f>1.91+4.46+6.38</f>
        <v>12.75</v>
      </c>
      <c r="V39" s="574"/>
      <c r="W39" s="549">
        <v>0.15</v>
      </c>
    </row>
    <row r="40" spans="1:32" ht="7.5" customHeight="1" x14ac:dyDescent="0.35"/>
    <row r="58" spans="33:33" x14ac:dyDescent="0.35">
      <c r="AG58" s="858"/>
    </row>
  </sheetData>
  <sheetProtection insertRows="0" deleteRows="0"/>
  <mergeCells count="14">
    <mergeCell ref="B4:C4"/>
    <mergeCell ref="R5:W5"/>
    <mergeCell ref="R6:W6"/>
    <mergeCell ref="R7:W7"/>
    <mergeCell ref="R8:W8"/>
    <mergeCell ref="D5:E5"/>
    <mergeCell ref="D6:E6"/>
    <mergeCell ref="D7:E7"/>
    <mergeCell ref="D8:E8"/>
    <mergeCell ref="I5:O5"/>
    <mergeCell ref="I6:O6"/>
    <mergeCell ref="I7:O7"/>
    <mergeCell ref="I8:O8"/>
    <mergeCell ref="F4:H4"/>
  </mergeCells>
  <conditionalFormatting sqref="L38:P38 U38 W38">
    <cfRule type="expression" dxfId="35" priority="12" stopIfTrue="1">
      <formula>$K$38=0</formula>
    </cfRule>
  </conditionalFormatting>
  <conditionalFormatting sqref="W39 U39 L39:P39">
    <cfRule type="expression" dxfId="34" priority="19" stopIfTrue="1">
      <formula>$K$39=0</formula>
    </cfRule>
  </conditionalFormatting>
  <dataValidations count="4">
    <dataValidation type="list" allowBlank="1" showInputMessage="1" showErrorMessage="1" sqref="IO35:IP35 IM12:IV34">
      <formula1>BAUTEILKENNUNG</formula1>
    </dataValidation>
    <dataValidation type="list" allowBlank="1" showInputMessage="1" showErrorMessage="1" sqref="R12:R34">
      <formula1>listAngebotsWährungen</formula1>
    </dataValidation>
    <dataValidation type="list" allowBlank="1" showInputMessage="1" showErrorMessage="1" sqref="G34 G20 G28">
      <formula1>listZulässigeAngebotswährungen</formula1>
    </dataValidation>
    <dataValidation type="list" allowBlank="1" showInputMessage="1" showErrorMessage="1" sqref="G12:G19 G29:G33 G21:G27">
      <formula1>listZulässigeBeschaffungswährungen</formula1>
    </dataValidation>
  </dataValidations>
  <hyperlinks>
    <hyperlink ref="U2" r:id="rId1"/>
  </hyperlinks>
  <pageMargins left="0.39370078740157483" right="0.39370078740157483" top="0.39370078740157483" bottom="0.39370078740157483" header="0.31496062992125984" footer="0.31496062992125984"/>
  <pageSetup paperSize="9" scale="56" orientation="landscape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  <pageSetUpPr fitToPage="1"/>
  </sheetPr>
  <dimension ref="A2:AA110"/>
  <sheetViews>
    <sheetView showGridLines="0" tabSelected="1" zoomScale="115" zoomScaleNormal="115" workbookViewId="0">
      <selection activeCell="D24" sqref="D24"/>
    </sheetView>
  </sheetViews>
  <sheetFormatPr baseColWidth="10" defaultColWidth="10.33203125" defaultRowHeight="12.75" x14ac:dyDescent="0.35"/>
  <cols>
    <col min="1" max="1" width="2.46484375" style="719" customWidth="1"/>
    <col min="2" max="2" width="21.33203125" style="719" customWidth="1"/>
    <col min="3" max="20" width="9.6640625" style="719" customWidth="1"/>
    <col min="21" max="21" width="9.6640625" style="855" customWidth="1"/>
    <col min="22" max="22" width="9.6640625" style="719" customWidth="1"/>
    <col min="23" max="23" width="2.46484375" style="730" customWidth="1"/>
    <col min="24" max="256" width="10.33203125" style="730"/>
    <col min="257" max="257" width="2.46484375" style="730" customWidth="1"/>
    <col min="258" max="258" width="21.33203125" style="730" customWidth="1"/>
    <col min="259" max="278" width="9.6640625" style="730" customWidth="1"/>
    <col min="279" max="279" width="2.46484375" style="730" customWidth="1"/>
    <col min="280" max="512" width="10.33203125" style="730"/>
    <col min="513" max="513" width="2.46484375" style="730" customWidth="1"/>
    <col min="514" max="514" width="21.33203125" style="730" customWidth="1"/>
    <col min="515" max="534" width="9.6640625" style="730" customWidth="1"/>
    <col min="535" max="535" width="2.46484375" style="730" customWidth="1"/>
    <col min="536" max="768" width="10.33203125" style="730"/>
    <col min="769" max="769" width="2.46484375" style="730" customWidth="1"/>
    <col min="770" max="770" width="21.33203125" style="730" customWidth="1"/>
    <col min="771" max="790" width="9.6640625" style="730" customWidth="1"/>
    <col min="791" max="791" width="2.46484375" style="730" customWidth="1"/>
    <col min="792" max="1024" width="10.33203125" style="730"/>
    <col min="1025" max="1025" width="2.46484375" style="730" customWidth="1"/>
    <col min="1026" max="1026" width="21.33203125" style="730" customWidth="1"/>
    <col min="1027" max="1046" width="9.6640625" style="730" customWidth="1"/>
    <col min="1047" max="1047" width="2.46484375" style="730" customWidth="1"/>
    <col min="1048" max="1280" width="10.33203125" style="730"/>
    <col min="1281" max="1281" width="2.46484375" style="730" customWidth="1"/>
    <col min="1282" max="1282" width="21.33203125" style="730" customWidth="1"/>
    <col min="1283" max="1302" width="9.6640625" style="730" customWidth="1"/>
    <col min="1303" max="1303" width="2.46484375" style="730" customWidth="1"/>
    <col min="1304" max="1536" width="10.33203125" style="730"/>
    <col min="1537" max="1537" width="2.46484375" style="730" customWidth="1"/>
    <col min="1538" max="1538" width="21.33203125" style="730" customWidth="1"/>
    <col min="1539" max="1558" width="9.6640625" style="730" customWidth="1"/>
    <col min="1559" max="1559" width="2.46484375" style="730" customWidth="1"/>
    <col min="1560" max="1792" width="10.33203125" style="730"/>
    <col min="1793" max="1793" width="2.46484375" style="730" customWidth="1"/>
    <col min="1794" max="1794" width="21.33203125" style="730" customWidth="1"/>
    <col min="1795" max="1814" width="9.6640625" style="730" customWidth="1"/>
    <col min="1815" max="1815" width="2.46484375" style="730" customWidth="1"/>
    <col min="1816" max="2048" width="10.33203125" style="730"/>
    <col min="2049" max="2049" width="2.46484375" style="730" customWidth="1"/>
    <col min="2050" max="2050" width="21.33203125" style="730" customWidth="1"/>
    <col min="2051" max="2070" width="9.6640625" style="730" customWidth="1"/>
    <col min="2071" max="2071" width="2.46484375" style="730" customWidth="1"/>
    <col min="2072" max="2304" width="10.33203125" style="730"/>
    <col min="2305" max="2305" width="2.46484375" style="730" customWidth="1"/>
    <col min="2306" max="2306" width="21.33203125" style="730" customWidth="1"/>
    <col min="2307" max="2326" width="9.6640625" style="730" customWidth="1"/>
    <col min="2327" max="2327" width="2.46484375" style="730" customWidth="1"/>
    <col min="2328" max="2560" width="10.33203125" style="730"/>
    <col min="2561" max="2561" width="2.46484375" style="730" customWidth="1"/>
    <col min="2562" max="2562" width="21.33203125" style="730" customWidth="1"/>
    <col min="2563" max="2582" width="9.6640625" style="730" customWidth="1"/>
    <col min="2583" max="2583" width="2.46484375" style="730" customWidth="1"/>
    <col min="2584" max="2816" width="10.33203125" style="730"/>
    <col min="2817" max="2817" width="2.46484375" style="730" customWidth="1"/>
    <col min="2818" max="2818" width="21.33203125" style="730" customWidth="1"/>
    <col min="2819" max="2838" width="9.6640625" style="730" customWidth="1"/>
    <col min="2839" max="2839" width="2.46484375" style="730" customWidth="1"/>
    <col min="2840" max="3072" width="10.33203125" style="730"/>
    <col min="3073" max="3073" width="2.46484375" style="730" customWidth="1"/>
    <col min="3074" max="3074" width="21.33203125" style="730" customWidth="1"/>
    <col min="3075" max="3094" width="9.6640625" style="730" customWidth="1"/>
    <col min="3095" max="3095" width="2.46484375" style="730" customWidth="1"/>
    <col min="3096" max="3328" width="10.33203125" style="730"/>
    <col min="3329" max="3329" width="2.46484375" style="730" customWidth="1"/>
    <col min="3330" max="3330" width="21.33203125" style="730" customWidth="1"/>
    <col min="3331" max="3350" width="9.6640625" style="730" customWidth="1"/>
    <col min="3351" max="3351" width="2.46484375" style="730" customWidth="1"/>
    <col min="3352" max="3584" width="10.33203125" style="730"/>
    <col min="3585" max="3585" width="2.46484375" style="730" customWidth="1"/>
    <col min="3586" max="3586" width="21.33203125" style="730" customWidth="1"/>
    <col min="3587" max="3606" width="9.6640625" style="730" customWidth="1"/>
    <col min="3607" max="3607" width="2.46484375" style="730" customWidth="1"/>
    <col min="3608" max="3840" width="10.33203125" style="730"/>
    <col min="3841" max="3841" width="2.46484375" style="730" customWidth="1"/>
    <col min="3842" max="3842" width="21.33203125" style="730" customWidth="1"/>
    <col min="3843" max="3862" width="9.6640625" style="730" customWidth="1"/>
    <col min="3863" max="3863" width="2.46484375" style="730" customWidth="1"/>
    <col min="3864" max="4096" width="10.33203125" style="730"/>
    <col min="4097" max="4097" width="2.46484375" style="730" customWidth="1"/>
    <col min="4098" max="4098" width="21.33203125" style="730" customWidth="1"/>
    <col min="4099" max="4118" width="9.6640625" style="730" customWidth="1"/>
    <col min="4119" max="4119" width="2.46484375" style="730" customWidth="1"/>
    <col min="4120" max="4352" width="10.33203125" style="730"/>
    <col min="4353" max="4353" width="2.46484375" style="730" customWidth="1"/>
    <col min="4354" max="4354" width="21.33203125" style="730" customWidth="1"/>
    <col min="4355" max="4374" width="9.6640625" style="730" customWidth="1"/>
    <col min="4375" max="4375" width="2.46484375" style="730" customWidth="1"/>
    <col min="4376" max="4608" width="10.33203125" style="730"/>
    <col min="4609" max="4609" width="2.46484375" style="730" customWidth="1"/>
    <col min="4610" max="4610" width="21.33203125" style="730" customWidth="1"/>
    <col min="4611" max="4630" width="9.6640625" style="730" customWidth="1"/>
    <col min="4631" max="4631" width="2.46484375" style="730" customWidth="1"/>
    <col min="4632" max="4864" width="10.33203125" style="730"/>
    <col min="4865" max="4865" width="2.46484375" style="730" customWidth="1"/>
    <col min="4866" max="4866" width="21.33203125" style="730" customWidth="1"/>
    <col min="4867" max="4886" width="9.6640625" style="730" customWidth="1"/>
    <col min="4887" max="4887" width="2.46484375" style="730" customWidth="1"/>
    <col min="4888" max="5120" width="10.33203125" style="730"/>
    <col min="5121" max="5121" width="2.46484375" style="730" customWidth="1"/>
    <col min="5122" max="5122" width="21.33203125" style="730" customWidth="1"/>
    <col min="5123" max="5142" width="9.6640625" style="730" customWidth="1"/>
    <col min="5143" max="5143" width="2.46484375" style="730" customWidth="1"/>
    <col min="5144" max="5376" width="10.33203125" style="730"/>
    <col min="5377" max="5377" width="2.46484375" style="730" customWidth="1"/>
    <col min="5378" max="5378" width="21.33203125" style="730" customWidth="1"/>
    <col min="5379" max="5398" width="9.6640625" style="730" customWidth="1"/>
    <col min="5399" max="5399" width="2.46484375" style="730" customWidth="1"/>
    <col min="5400" max="5632" width="10.33203125" style="730"/>
    <col min="5633" max="5633" width="2.46484375" style="730" customWidth="1"/>
    <col min="5634" max="5634" width="21.33203125" style="730" customWidth="1"/>
    <col min="5635" max="5654" width="9.6640625" style="730" customWidth="1"/>
    <col min="5655" max="5655" width="2.46484375" style="730" customWidth="1"/>
    <col min="5656" max="5888" width="10.33203125" style="730"/>
    <col min="5889" max="5889" width="2.46484375" style="730" customWidth="1"/>
    <col min="5890" max="5890" width="21.33203125" style="730" customWidth="1"/>
    <col min="5891" max="5910" width="9.6640625" style="730" customWidth="1"/>
    <col min="5911" max="5911" width="2.46484375" style="730" customWidth="1"/>
    <col min="5912" max="6144" width="10.33203125" style="730"/>
    <col min="6145" max="6145" width="2.46484375" style="730" customWidth="1"/>
    <col min="6146" max="6146" width="21.33203125" style="730" customWidth="1"/>
    <col min="6147" max="6166" width="9.6640625" style="730" customWidth="1"/>
    <col min="6167" max="6167" width="2.46484375" style="730" customWidth="1"/>
    <col min="6168" max="6400" width="10.33203125" style="730"/>
    <col min="6401" max="6401" width="2.46484375" style="730" customWidth="1"/>
    <col min="6402" max="6402" width="21.33203125" style="730" customWidth="1"/>
    <col min="6403" max="6422" width="9.6640625" style="730" customWidth="1"/>
    <col min="6423" max="6423" width="2.46484375" style="730" customWidth="1"/>
    <col min="6424" max="6656" width="10.33203125" style="730"/>
    <col min="6657" max="6657" width="2.46484375" style="730" customWidth="1"/>
    <col min="6658" max="6658" width="21.33203125" style="730" customWidth="1"/>
    <col min="6659" max="6678" width="9.6640625" style="730" customWidth="1"/>
    <col min="6679" max="6679" width="2.46484375" style="730" customWidth="1"/>
    <col min="6680" max="6912" width="10.33203125" style="730"/>
    <col min="6913" max="6913" width="2.46484375" style="730" customWidth="1"/>
    <col min="6914" max="6914" width="21.33203125" style="730" customWidth="1"/>
    <col min="6915" max="6934" width="9.6640625" style="730" customWidth="1"/>
    <col min="6935" max="6935" width="2.46484375" style="730" customWidth="1"/>
    <col min="6936" max="7168" width="10.33203125" style="730"/>
    <col min="7169" max="7169" width="2.46484375" style="730" customWidth="1"/>
    <col min="7170" max="7170" width="21.33203125" style="730" customWidth="1"/>
    <col min="7171" max="7190" width="9.6640625" style="730" customWidth="1"/>
    <col min="7191" max="7191" width="2.46484375" style="730" customWidth="1"/>
    <col min="7192" max="7424" width="10.33203125" style="730"/>
    <col min="7425" max="7425" width="2.46484375" style="730" customWidth="1"/>
    <col min="7426" max="7426" width="21.33203125" style="730" customWidth="1"/>
    <col min="7427" max="7446" width="9.6640625" style="730" customWidth="1"/>
    <col min="7447" max="7447" width="2.46484375" style="730" customWidth="1"/>
    <col min="7448" max="7680" width="10.33203125" style="730"/>
    <col min="7681" max="7681" width="2.46484375" style="730" customWidth="1"/>
    <col min="7682" max="7682" width="21.33203125" style="730" customWidth="1"/>
    <col min="7683" max="7702" width="9.6640625" style="730" customWidth="1"/>
    <col min="7703" max="7703" width="2.46484375" style="730" customWidth="1"/>
    <col min="7704" max="7936" width="10.33203125" style="730"/>
    <col min="7937" max="7937" width="2.46484375" style="730" customWidth="1"/>
    <col min="7938" max="7938" width="21.33203125" style="730" customWidth="1"/>
    <col min="7939" max="7958" width="9.6640625" style="730" customWidth="1"/>
    <col min="7959" max="7959" width="2.46484375" style="730" customWidth="1"/>
    <col min="7960" max="8192" width="10.33203125" style="730"/>
    <col min="8193" max="8193" width="2.46484375" style="730" customWidth="1"/>
    <col min="8194" max="8194" width="21.33203125" style="730" customWidth="1"/>
    <col min="8195" max="8214" width="9.6640625" style="730" customWidth="1"/>
    <col min="8215" max="8215" width="2.46484375" style="730" customWidth="1"/>
    <col min="8216" max="8448" width="10.33203125" style="730"/>
    <col min="8449" max="8449" width="2.46484375" style="730" customWidth="1"/>
    <col min="8450" max="8450" width="21.33203125" style="730" customWidth="1"/>
    <col min="8451" max="8470" width="9.6640625" style="730" customWidth="1"/>
    <col min="8471" max="8471" width="2.46484375" style="730" customWidth="1"/>
    <col min="8472" max="8704" width="10.33203125" style="730"/>
    <col min="8705" max="8705" width="2.46484375" style="730" customWidth="1"/>
    <col min="8706" max="8706" width="21.33203125" style="730" customWidth="1"/>
    <col min="8707" max="8726" width="9.6640625" style="730" customWidth="1"/>
    <col min="8727" max="8727" width="2.46484375" style="730" customWidth="1"/>
    <col min="8728" max="8960" width="10.33203125" style="730"/>
    <col min="8961" max="8961" width="2.46484375" style="730" customWidth="1"/>
    <col min="8962" max="8962" width="21.33203125" style="730" customWidth="1"/>
    <col min="8963" max="8982" width="9.6640625" style="730" customWidth="1"/>
    <col min="8983" max="8983" width="2.46484375" style="730" customWidth="1"/>
    <col min="8984" max="9216" width="10.33203125" style="730"/>
    <col min="9217" max="9217" width="2.46484375" style="730" customWidth="1"/>
    <col min="9218" max="9218" width="21.33203125" style="730" customWidth="1"/>
    <col min="9219" max="9238" width="9.6640625" style="730" customWidth="1"/>
    <col min="9239" max="9239" width="2.46484375" style="730" customWidth="1"/>
    <col min="9240" max="9472" width="10.33203125" style="730"/>
    <col min="9473" max="9473" width="2.46484375" style="730" customWidth="1"/>
    <col min="9474" max="9474" width="21.33203125" style="730" customWidth="1"/>
    <col min="9475" max="9494" width="9.6640625" style="730" customWidth="1"/>
    <col min="9495" max="9495" width="2.46484375" style="730" customWidth="1"/>
    <col min="9496" max="9728" width="10.33203125" style="730"/>
    <col min="9729" max="9729" width="2.46484375" style="730" customWidth="1"/>
    <col min="9730" max="9730" width="21.33203125" style="730" customWidth="1"/>
    <col min="9731" max="9750" width="9.6640625" style="730" customWidth="1"/>
    <col min="9751" max="9751" width="2.46484375" style="730" customWidth="1"/>
    <col min="9752" max="9984" width="10.33203125" style="730"/>
    <col min="9985" max="9985" width="2.46484375" style="730" customWidth="1"/>
    <col min="9986" max="9986" width="21.33203125" style="730" customWidth="1"/>
    <col min="9987" max="10006" width="9.6640625" style="730" customWidth="1"/>
    <col min="10007" max="10007" width="2.46484375" style="730" customWidth="1"/>
    <col min="10008" max="10240" width="10.33203125" style="730"/>
    <col min="10241" max="10241" width="2.46484375" style="730" customWidth="1"/>
    <col min="10242" max="10242" width="21.33203125" style="730" customWidth="1"/>
    <col min="10243" max="10262" width="9.6640625" style="730" customWidth="1"/>
    <col min="10263" max="10263" width="2.46484375" style="730" customWidth="1"/>
    <col min="10264" max="10496" width="10.33203125" style="730"/>
    <col min="10497" max="10497" width="2.46484375" style="730" customWidth="1"/>
    <col min="10498" max="10498" width="21.33203125" style="730" customWidth="1"/>
    <col min="10499" max="10518" width="9.6640625" style="730" customWidth="1"/>
    <col min="10519" max="10519" width="2.46484375" style="730" customWidth="1"/>
    <col min="10520" max="10752" width="10.33203125" style="730"/>
    <col min="10753" max="10753" width="2.46484375" style="730" customWidth="1"/>
    <col min="10754" max="10754" width="21.33203125" style="730" customWidth="1"/>
    <col min="10755" max="10774" width="9.6640625" style="730" customWidth="1"/>
    <col min="10775" max="10775" width="2.46484375" style="730" customWidth="1"/>
    <col min="10776" max="11008" width="10.33203125" style="730"/>
    <col min="11009" max="11009" width="2.46484375" style="730" customWidth="1"/>
    <col min="11010" max="11010" width="21.33203125" style="730" customWidth="1"/>
    <col min="11011" max="11030" width="9.6640625" style="730" customWidth="1"/>
    <col min="11031" max="11031" width="2.46484375" style="730" customWidth="1"/>
    <col min="11032" max="11264" width="10.33203125" style="730"/>
    <col min="11265" max="11265" width="2.46484375" style="730" customWidth="1"/>
    <col min="11266" max="11266" width="21.33203125" style="730" customWidth="1"/>
    <col min="11267" max="11286" width="9.6640625" style="730" customWidth="1"/>
    <col min="11287" max="11287" width="2.46484375" style="730" customWidth="1"/>
    <col min="11288" max="11520" width="10.33203125" style="730"/>
    <col min="11521" max="11521" width="2.46484375" style="730" customWidth="1"/>
    <col min="11522" max="11522" width="21.33203125" style="730" customWidth="1"/>
    <col min="11523" max="11542" width="9.6640625" style="730" customWidth="1"/>
    <col min="11543" max="11543" width="2.46484375" style="730" customWidth="1"/>
    <col min="11544" max="11776" width="10.33203125" style="730"/>
    <col min="11777" max="11777" width="2.46484375" style="730" customWidth="1"/>
    <col min="11778" max="11778" width="21.33203125" style="730" customWidth="1"/>
    <col min="11779" max="11798" width="9.6640625" style="730" customWidth="1"/>
    <col min="11799" max="11799" width="2.46484375" style="730" customWidth="1"/>
    <col min="11800" max="12032" width="10.33203125" style="730"/>
    <col min="12033" max="12033" width="2.46484375" style="730" customWidth="1"/>
    <col min="12034" max="12034" width="21.33203125" style="730" customWidth="1"/>
    <col min="12035" max="12054" width="9.6640625" style="730" customWidth="1"/>
    <col min="12055" max="12055" width="2.46484375" style="730" customWidth="1"/>
    <col min="12056" max="12288" width="10.33203125" style="730"/>
    <col min="12289" max="12289" width="2.46484375" style="730" customWidth="1"/>
    <col min="12290" max="12290" width="21.33203125" style="730" customWidth="1"/>
    <col min="12291" max="12310" width="9.6640625" style="730" customWidth="1"/>
    <col min="12311" max="12311" width="2.46484375" style="730" customWidth="1"/>
    <col min="12312" max="12544" width="10.33203125" style="730"/>
    <col min="12545" max="12545" width="2.46484375" style="730" customWidth="1"/>
    <col min="12546" max="12546" width="21.33203125" style="730" customWidth="1"/>
    <col min="12547" max="12566" width="9.6640625" style="730" customWidth="1"/>
    <col min="12567" max="12567" width="2.46484375" style="730" customWidth="1"/>
    <col min="12568" max="12800" width="10.33203125" style="730"/>
    <col min="12801" max="12801" width="2.46484375" style="730" customWidth="1"/>
    <col min="12802" max="12802" width="21.33203125" style="730" customWidth="1"/>
    <col min="12803" max="12822" width="9.6640625" style="730" customWidth="1"/>
    <col min="12823" max="12823" width="2.46484375" style="730" customWidth="1"/>
    <col min="12824" max="13056" width="10.33203125" style="730"/>
    <col min="13057" max="13057" width="2.46484375" style="730" customWidth="1"/>
    <col min="13058" max="13058" width="21.33203125" style="730" customWidth="1"/>
    <col min="13059" max="13078" width="9.6640625" style="730" customWidth="1"/>
    <col min="13079" max="13079" width="2.46484375" style="730" customWidth="1"/>
    <col min="13080" max="13312" width="10.33203125" style="730"/>
    <col min="13313" max="13313" width="2.46484375" style="730" customWidth="1"/>
    <col min="13314" max="13314" width="21.33203125" style="730" customWidth="1"/>
    <col min="13315" max="13334" width="9.6640625" style="730" customWidth="1"/>
    <col min="13335" max="13335" width="2.46484375" style="730" customWidth="1"/>
    <col min="13336" max="13568" width="10.33203125" style="730"/>
    <col min="13569" max="13569" width="2.46484375" style="730" customWidth="1"/>
    <col min="13570" max="13570" width="21.33203125" style="730" customWidth="1"/>
    <col min="13571" max="13590" width="9.6640625" style="730" customWidth="1"/>
    <col min="13591" max="13591" width="2.46484375" style="730" customWidth="1"/>
    <col min="13592" max="13824" width="10.33203125" style="730"/>
    <col min="13825" max="13825" width="2.46484375" style="730" customWidth="1"/>
    <col min="13826" max="13826" width="21.33203125" style="730" customWidth="1"/>
    <col min="13827" max="13846" width="9.6640625" style="730" customWidth="1"/>
    <col min="13847" max="13847" width="2.46484375" style="730" customWidth="1"/>
    <col min="13848" max="14080" width="10.33203125" style="730"/>
    <col min="14081" max="14081" width="2.46484375" style="730" customWidth="1"/>
    <col min="14082" max="14082" width="21.33203125" style="730" customWidth="1"/>
    <col min="14083" max="14102" width="9.6640625" style="730" customWidth="1"/>
    <col min="14103" max="14103" width="2.46484375" style="730" customWidth="1"/>
    <col min="14104" max="14336" width="10.33203125" style="730"/>
    <col min="14337" max="14337" width="2.46484375" style="730" customWidth="1"/>
    <col min="14338" max="14338" width="21.33203125" style="730" customWidth="1"/>
    <col min="14339" max="14358" width="9.6640625" style="730" customWidth="1"/>
    <col min="14359" max="14359" width="2.46484375" style="730" customWidth="1"/>
    <col min="14360" max="14592" width="10.33203125" style="730"/>
    <col min="14593" max="14593" width="2.46484375" style="730" customWidth="1"/>
    <col min="14594" max="14594" width="21.33203125" style="730" customWidth="1"/>
    <col min="14595" max="14614" width="9.6640625" style="730" customWidth="1"/>
    <col min="14615" max="14615" width="2.46484375" style="730" customWidth="1"/>
    <col min="14616" max="14848" width="10.33203125" style="730"/>
    <col min="14849" max="14849" width="2.46484375" style="730" customWidth="1"/>
    <col min="14850" max="14850" width="21.33203125" style="730" customWidth="1"/>
    <col min="14851" max="14870" width="9.6640625" style="730" customWidth="1"/>
    <col min="14871" max="14871" width="2.46484375" style="730" customWidth="1"/>
    <col min="14872" max="15104" width="10.33203125" style="730"/>
    <col min="15105" max="15105" width="2.46484375" style="730" customWidth="1"/>
    <col min="15106" max="15106" width="21.33203125" style="730" customWidth="1"/>
    <col min="15107" max="15126" width="9.6640625" style="730" customWidth="1"/>
    <col min="15127" max="15127" width="2.46484375" style="730" customWidth="1"/>
    <col min="15128" max="15360" width="10.33203125" style="730"/>
    <col min="15361" max="15361" width="2.46484375" style="730" customWidth="1"/>
    <col min="15362" max="15362" width="21.33203125" style="730" customWidth="1"/>
    <col min="15363" max="15382" width="9.6640625" style="730" customWidth="1"/>
    <col min="15383" max="15383" width="2.46484375" style="730" customWidth="1"/>
    <col min="15384" max="15616" width="10.33203125" style="730"/>
    <col min="15617" max="15617" width="2.46484375" style="730" customWidth="1"/>
    <col min="15618" max="15618" width="21.33203125" style="730" customWidth="1"/>
    <col min="15619" max="15638" width="9.6640625" style="730" customWidth="1"/>
    <col min="15639" max="15639" width="2.46484375" style="730" customWidth="1"/>
    <col min="15640" max="15872" width="10.33203125" style="730"/>
    <col min="15873" max="15873" width="2.46484375" style="730" customWidth="1"/>
    <col min="15874" max="15874" width="21.33203125" style="730" customWidth="1"/>
    <col min="15875" max="15894" width="9.6640625" style="730" customWidth="1"/>
    <col min="15895" max="15895" width="2.46484375" style="730" customWidth="1"/>
    <col min="15896" max="16128" width="10.33203125" style="730"/>
    <col min="16129" max="16129" width="2.46484375" style="730" customWidth="1"/>
    <col min="16130" max="16130" width="21.33203125" style="730" customWidth="1"/>
    <col min="16131" max="16150" width="9.6640625" style="730" customWidth="1"/>
    <col min="16151" max="16151" width="2.46484375" style="730" customWidth="1"/>
    <col min="16152" max="16384" width="10.33203125" style="730"/>
  </cols>
  <sheetData>
    <row r="2" spans="1:22" x14ac:dyDescent="0.35">
      <c r="B2" s="720"/>
      <c r="C2" s="721"/>
      <c r="D2" s="722"/>
      <c r="E2" s="722"/>
      <c r="F2" s="723"/>
      <c r="G2" s="724"/>
      <c r="H2" s="723"/>
      <c r="I2" s="725"/>
      <c r="J2" s="726"/>
      <c r="K2" s="723"/>
      <c r="L2" s="725"/>
      <c r="M2" s="726"/>
      <c r="N2" s="726"/>
      <c r="O2" s="723"/>
      <c r="P2" s="723"/>
      <c r="Q2" s="725"/>
      <c r="R2" s="725"/>
      <c r="S2" s="727"/>
      <c r="T2" s="723"/>
      <c r="U2" s="728"/>
      <c r="V2" s="729"/>
    </row>
    <row r="3" spans="1:22" ht="22.5" x14ac:dyDescent="0.6">
      <c r="B3" s="957" t="s">
        <v>967</v>
      </c>
      <c r="C3" s="958"/>
      <c r="D3" s="958"/>
      <c r="E3" s="958"/>
      <c r="F3" s="958"/>
      <c r="G3" s="958"/>
      <c r="H3" s="958"/>
      <c r="I3" s="958"/>
      <c r="J3" s="958"/>
      <c r="K3" s="958"/>
      <c r="L3" s="958"/>
      <c r="M3" s="958"/>
      <c r="N3" s="958"/>
      <c r="O3" s="958"/>
      <c r="P3" s="958"/>
      <c r="Q3" s="958"/>
      <c r="R3" s="958"/>
      <c r="S3" s="958"/>
      <c r="T3" s="958"/>
      <c r="U3" s="958"/>
      <c r="V3" s="959"/>
    </row>
    <row r="4" spans="1:22" x14ac:dyDescent="0.35">
      <c r="B4" s="731"/>
      <c r="C4" s="732"/>
      <c r="D4" s="733"/>
      <c r="E4" s="733"/>
      <c r="F4" s="734"/>
      <c r="G4" s="735"/>
      <c r="H4" s="734"/>
      <c r="I4" s="736"/>
      <c r="J4" s="737"/>
      <c r="K4" s="734"/>
      <c r="L4" s="736"/>
      <c r="M4" s="737"/>
      <c r="N4" s="737"/>
      <c r="O4" s="734"/>
      <c r="P4" s="734"/>
      <c r="Q4" s="736"/>
      <c r="R4" s="736"/>
      <c r="S4" s="738"/>
      <c r="T4" s="734"/>
      <c r="U4" s="739"/>
      <c r="V4" s="740"/>
    </row>
    <row r="5" spans="1:22" x14ac:dyDescent="0.35">
      <c r="A5" s="730"/>
      <c r="B5" s="730"/>
      <c r="C5" s="730"/>
      <c r="D5" s="741"/>
      <c r="E5" s="741"/>
      <c r="F5" s="742"/>
      <c r="G5" s="743"/>
      <c r="H5" s="742"/>
      <c r="I5" s="741"/>
      <c r="J5" s="744"/>
      <c r="K5" s="742"/>
      <c r="L5" s="745"/>
      <c r="M5" s="744"/>
      <c r="N5" s="744"/>
      <c r="O5" s="742"/>
      <c r="P5" s="742"/>
      <c r="Q5" s="745"/>
      <c r="R5" s="745"/>
      <c r="S5" s="746"/>
      <c r="T5" s="742"/>
      <c r="U5" s="747"/>
      <c r="V5" s="748"/>
    </row>
    <row r="6" spans="1:22" s="760" customFormat="1" ht="15" x14ac:dyDescent="0.4">
      <c r="A6" s="749"/>
      <c r="B6" s="750"/>
      <c r="C6" s="751"/>
      <c r="D6" s="752"/>
      <c r="E6" s="752"/>
      <c r="F6" s="753"/>
      <c r="G6" s="754"/>
      <c r="H6" s="755"/>
      <c r="I6" s="755"/>
      <c r="J6" s="755"/>
      <c r="K6" s="753"/>
      <c r="L6" s="756"/>
      <c r="M6" s="757"/>
      <c r="N6" s="757"/>
      <c r="O6" s="753"/>
      <c r="P6" s="753"/>
      <c r="Q6" s="756"/>
      <c r="R6" s="756"/>
      <c r="S6" s="758" t="s">
        <v>646</v>
      </c>
      <c r="T6" s="753"/>
      <c r="U6" s="752"/>
      <c r="V6" s="759"/>
    </row>
    <row r="7" spans="1:22" s="760" customFormat="1" ht="15" x14ac:dyDescent="0.4">
      <c r="A7" s="749"/>
      <c r="B7" s="761" t="s">
        <v>968</v>
      </c>
      <c r="C7" s="762"/>
      <c r="F7" s="763"/>
      <c r="G7" s="764"/>
      <c r="H7" s="765"/>
      <c r="I7" s="765"/>
      <c r="J7" s="765"/>
      <c r="K7" s="763"/>
      <c r="L7" s="766"/>
      <c r="O7" s="763"/>
      <c r="P7" s="763"/>
      <c r="Q7" s="766"/>
      <c r="R7" s="766"/>
      <c r="S7" s="767"/>
      <c r="T7" s="763"/>
      <c r="V7" s="768"/>
    </row>
    <row r="8" spans="1:22" s="760" customFormat="1" ht="9.9499999999999993" customHeight="1" x14ac:dyDescent="0.4">
      <c r="A8" s="749"/>
      <c r="B8" s="761"/>
      <c r="C8" s="762"/>
      <c r="F8" s="763"/>
      <c r="G8" s="764"/>
      <c r="H8" s="765"/>
      <c r="I8" s="765"/>
      <c r="J8" s="765"/>
      <c r="K8" s="763"/>
      <c r="L8" s="766"/>
      <c r="M8" s="769"/>
      <c r="N8" s="769"/>
      <c r="O8" s="763"/>
      <c r="P8" s="763"/>
      <c r="Q8" s="766"/>
      <c r="R8" s="766"/>
      <c r="S8" s="767"/>
      <c r="T8" s="763"/>
      <c r="V8" s="768"/>
    </row>
    <row r="9" spans="1:22" s="760" customFormat="1" x14ac:dyDescent="0.35">
      <c r="A9" s="749"/>
      <c r="B9" s="770"/>
      <c r="D9" s="771"/>
      <c r="E9" s="771"/>
      <c r="F9" s="745" t="s">
        <v>969</v>
      </c>
      <c r="G9" s="772">
        <v>0.05</v>
      </c>
      <c r="H9" s="742"/>
      <c r="M9" s="745" t="s">
        <v>970</v>
      </c>
      <c r="N9" s="772">
        <v>0.06</v>
      </c>
      <c r="O9" s="763"/>
      <c r="P9" s="763"/>
      <c r="Q9" s="763"/>
      <c r="R9" s="763"/>
      <c r="V9" s="773"/>
    </row>
    <row r="10" spans="1:22" s="760" customFormat="1" ht="9.9499999999999993" customHeight="1" x14ac:dyDescent="0.35">
      <c r="A10" s="749"/>
      <c r="B10" s="770"/>
      <c r="D10" s="771"/>
      <c r="E10" s="771"/>
      <c r="F10" s="745"/>
      <c r="G10" s="774"/>
      <c r="H10" s="742"/>
      <c r="M10" s="745"/>
      <c r="N10" s="742"/>
      <c r="O10" s="763"/>
      <c r="P10" s="763"/>
      <c r="Q10" s="763"/>
      <c r="R10" s="763"/>
      <c r="U10" s="775"/>
      <c r="V10" s="773"/>
    </row>
    <row r="11" spans="1:22" s="760" customFormat="1" x14ac:dyDescent="0.35">
      <c r="A11" s="749"/>
      <c r="B11" s="770"/>
      <c r="D11" s="771"/>
      <c r="E11" s="771"/>
      <c r="F11" s="745" t="s">
        <v>971</v>
      </c>
      <c r="G11" s="776">
        <v>75</v>
      </c>
      <c r="H11" s="742"/>
      <c r="M11" s="745" t="s">
        <v>972</v>
      </c>
      <c r="N11" s="777">
        <v>1.4999999999999999E-2</v>
      </c>
      <c r="O11" s="769"/>
      <c r="P11" s="769"/>
      <c r="Q11" s="769"/>
      <c r="R11" s="769"/>
      <c r="U11" s="775"/>
      <c r="V11" s="773"/>
    </row>
    <row r="12" spans="1:22" s="760" customFormat="1" ht="9.9499999999999993" customHeight="1" x14ac:dyDescent="0.35">
      <c r="A12" s="749"/>
      <c r="B12" s="770"/>
      <c r="D12" s="771"/>
      <c r="E12" s="771"/>
      <c r="F12" s="745"/>
      <c r="G12" s="778"/>
      <c r="H12" s="742"/>
      <c r="O12" s="769"/>
      <c r="P12" s="769"/>
      <c r="Q12" s="769"/>
      <c r="R12" s="769"/>
      <c r="U12" s="775"/>
      <c r="V12" s="773"/>
    </row>
    <row r="13" spans="1:22" s="760" customFormat="1" x14ac:dyDescent="0.35">
      <c r="A13" s="749"/>
      <c r="B13" s="770"/>
      <c r="D13" s="771"/>
      <c r="E13" s="771"/>
      <c r="F13" s="745" t="s">
        <v>973</v>
      </c>
      <c r="G13" s="779">
        <f>5*48</f>
        <v>240</v>
      </c>
      <c r="H13" s="742"/>
      <c r="M13" s="745" t="s">
        <v>974</v>
      </c>
      <c r="N13" s="776">
        <v>0.22</v>
      </c>
      <c r="O13" s="766" t="s">
        <v>646</v>
      </c>
      <c r="P13" s="766"/>
      <c r="Q13" s="766"/>
      <c r="R13" s="766"/>
      <c r="U13" s="775"/>
      <c r="V13" s="773"/>
    </row>
    <row r="14" spans="1:22" s="760" customFormat="1" ht="9.9499999999999993" customHeight="1" x14ac:dyDescent="0.35">
      <c r="A14" s="749"/>
      <c r="B14" s="770"/>
      <c r="D14" s="771"/>
      <c r="E14" s="771"/>
      <c r="F14" s="745"/>
      <c r="G14" s="780"/>
      <c r="H14" s="742"/>
      <c r="M14" s="745"/>
      <c r="N14" s="742"/>
      <c r="O14" s="766"/>
      <c r="P14" s="766"/>
      <c r="Q14" s="766"/>
      <c r="R14" s="766"/>
      <c r="U14" s="775"/>
      <c r="V14" s="773"/>
    </row>
    <row r="15" spans="1:22" s="760" customFormat="1" x14ac:dyDescent="0.35">
      <c r="A15" s="749"/>
      <c r="B15" s="770"/>
      <c r="D15" s="771"/>
      <c r="E15" s="771"/>
      <c r="F15" s="745" t="s">
        <v>975</v>
      </c>
      <c r="G15" s="779">
        <v>12</v>
      </c>
      <c r="H15" s="742"/>
      <c r="M15" s="781" t="s">
        <v>976</v>
      </c>
      <c r="N15" s="776">
        <v>0.03</v>
      </c>
      <c r="Q15" s="782"/>
      <c r="R15" s="783"/>
      <c r="S15" s="784"/>
      <c r="T15" s="784"/>
      <c r="U15" s="785"/>
      <c r="V15" s="786"/>
    </row>
    <row r="16" spans="1:22" s="760" customFormat="1" ht="9.75" customHeight="1" x14ac:dyDescent="0.35">
      <c r="A16" s="749"/>
      <c r="B16" s="770"/>
      <c r="D16" s="771"/>
      <c r="E16" s="771"/>
      <c r="H16" s="742"/>
      <c r="M16" s="781"/>
      <c r="N16" s="742"/>
      <c r="Q16" s="782"/>
      <c r="R16" s="787"/>
      <c r="U16" s="775"/>
      <c r="V16" s="773"/>
    </row>
    <row r="17" spans="1:27" s="760" customFormat="1" x14ac:dyDescent="0.35">
      <c r="A17" s="749"/>
      <c r="B17" s="770"/>
      <c r="D17" s="788"/>
      <c r="E17" s="788"/>
      <c r="H17" s="765"/>
      <c r="I17" s="789"/>
      <c r="J17" s="790"/>
      <c r="K17" s="791"/>
      <c r="L17" s="763"/>
      <c r="M17" s="745" t="s">
        <v>977</v>
      </c>
      <c r="N17" s="776">
        <v>1.2</v>
      </c>
      <c r="O17" s="763"/>
      <c r="P17" s="763"/>
      <c r="Q17" s="763"/>
      <c r="R17" s="792"/>
      <c r="S17" s="793" t="s">
        <v>978</v>
      </c>
      <c r="T17" s="794"/>
      <c r="U17" s="775" t="s">
        <v>979</v>
      </c>
      <c r="V17" s="795"/>
    </row>
    <row r="18" spans="1:27" s="760" customFormat="1" ht="10.15" x14ac:dyDescent="0.3">
      <c r="A18" s="749"/>
      <c r="B18" s="796"/>
      <c r="C18" s="784"/>
      <c r="D18" s="797"/>
      <c r="E18" s="797"/>
      <c r="F18" s="798"/>
      <c r="G18" s="799"/>
      <c r="H18" s="798"/>
      <c r="I18" s="797"/>
      <c r="J18" s="800"/>
      <c r="K18" s="798"/>
      <c r="L18" s="801"/>
      <c r="M18" s="800"/>
      <c r="N18" s="800"/>
      <c r="O18" s="798"/>
      <c r="P18" s="798"/>
      <c r="Q18" s="797"/>
      <c r="R18" s="802"/>
      <c r="S18" s="800"/>
      <c r="T18" s="798"/>
      <c r="U18" s="799"/>
      <c r="V18" s="803"/>
    </row>
    <row r="19" spans="1:27" ht="13.15" thickBot="1" x14ac:dyDescent="0.4">
      <c r="A19" s="745"/>
      <c r="B19" s="745"/>
      <c r="C19" s="745"/>
      <c r="D19" s="804"/>
      <c r="E19" s="804"/>
      <c r="F19" s="780"/>
      <c r="G19" s="742"/>
      <c r="H19" s="745"/>
      <c r="I19" s="744"/>
      <c r="J19" s="742"/>
      <c r="K19" s="745"/>
      <c r="L19" s="744"/>
      <c r="M19" s="744"/>
      <c r="N19" s="742"/>
      <c r="O19" s="745"/>
      <c r="P19" s="745"/>
      <c r="Q19" s="746"/>
      <c r="R19" s="742"/>
      <c r="S19" s="742"/>
      <c r="T19" s="780"/>
      <c r="U19" s="748"/>
      <c r="V19" s="730"/>
    </row>
    <row r="20" spans="1:27" ht="13.15" x14ac:dyDescent="0.4">
      <c r="A20" s="805"/>
      <c r="B20" s="806"/>
      <c r="C20" s="806"/>
      <c r="D20" s="960" t="s">
        <v>980</v>
      </c>
      <c r="E20" s="960"/>
      <c r="F20" s="960"/>
      <c r="G20" s="960"/>
      <c r="H20" s="960"/>
      <c r="I20" s="960"/>
      <c r="J20" s="960"/>
      <c r="K20" s="960"/>
      <c r="L20" s="806" t="s">
        <v>981</v>
      </c>
      <c r="M20" s="807"/>
      <c r="N20" s="807"/>
      <c r="O20" s="807"/>
      <c r="P20" s="807"/>
      <c r="Q20" s="807"/>
      <c r="R20" s="807"/>
      <c r="S20" s="807"/>
      <c r="T20" s="808"/>
      <c r="U20" s="809"/>
      <c r="V20" s="810" t="s">
        <v>982</v>
      </c>
      <c r="X20" s="730" t="s">
        <v>1038</v>
      </c>
    </row>
    <row r="21" spans="1:27" ht="15" x14ac:dyDescent="0.5">
      <c r="A21" s="805"/>
      <c r="B21" s="811" t="s">
        <v>983</v>
      </c>
      <c r="C21" s="811" t="s">
        <v>984</v>
      </c>
      <c r="D21" s="811" t="s">
        <v>985</v>
      </c>
      <c r="E21" s="811" t="s">
        <v>986</v>
      </c>
      <c r="F21" s="812" t="s">
        <v>987</v>
      </c>
      <c r="G21" s="813" t="s">
        <v>988</v>
      </c>
      <c r="H21" s="813" t="s">
        <v>989</v>
      </c>
      <c r="I21" s="813" t="s">
        <v>990</v>
      </c>
      <c r="J21" s="813" t="s">
        <v>991</v>
      </c>
      <c r="K21" s="814" t="s">
        <v>992</v>
      </c>
      <c r="L21" s="815" t="s">
        <v>993</v>
      </c>
      <c r="M21" s="813" t="s">
        <v>994</v>
      </c>
      <c r="N21" s="816" t="s">
        <v>995</v>
      </c>
      <c r="O21" s="813" t="s">
        <v>996</v>
      </c>
      <c r="P21" s="813" t="s">
        <v>997</v>
      </c>
      <c r="Q21" s="813" t="s">
        <v>998</v>
      </c>
      <c r="R21" s="813" t="s">
        <v>999</v>
      </c>
      <c r="S21" s="813" t="s">
        <v>1000</v>
      </c>
      <c r="T21" s="817" t="s">
        <v>1001</v>
      </c>
      <c r="U21" s="818" t="s">
        <v>1002</v>
      </c>
      <c r="V21" s="819" t="s">
        <v>1003</v>
      </c>
      <c r="X21" s="820" t="s">
        <v>1039</v>
      </c>
      <c r="Y21" s="730">
        <v>0.9</v>
      </c>
      <c r="Z21" s="730" t="s">
        <v>1040</v>
      </c>
      <c r="AA21" s="730" t="s">
        <v>1047</v>
      </c>
    </row>
    <row r="22" spans="1:27" ht="23.25" customHeight="1" x14ac:dyDescent="0.4">
      <c r="A22" s="730"/>
      <c r="B22" s="821" t="s">
        <v>1004</v>
      </c>
      <c r="C22" s="821" t="s">
        <v>1005</v>
      </c>
      <c r="D22" s="821" t="s">
        <v>1006</v>
      </c>
      <c r="E22" s="821" t="s">
        <v>1007</v>
      </c>
      <c r="F22" s="822" t="s">
        <v>1008</v>
      </c>
      <c r="G22" s="823" t="s">
        <v>1009</v>
      </c>
      <c r="H22" s="823" t="s">
        <v>1010</v>
      </c>
      <c r="I22" s="823" t="s">
        <v>1011</v>
      </c>
      <c r="J22" s="823" t="s">
        <v>1012</v>
      </c>
      <c r="K22" s="824" t="s">
        <v>1009</v>
      </c>
      <c r="L22" s="823" t="s">
        <v>1013</v>
      </c>
      <c r="M22" s="823" t="s">
        <v>1014</v>
      </c>
      <c r="N22" s="823" t="s">
        <v>1009</v>
      </c>
      <c r="O22" s="823" t="s">
        <v>1015</v>
      </c>
      <c r="P22" s="823" t="s">
        <v>1016</v>
      </c>
      <c r="Q22" s="823" t="s">
        <v>1017</v>
      </c>
      <c r="R22" s="823" t="s">
        <v>1018</v>
      </c>
      <c r="S22" s="823" t="s">
        <v>1019</v>
      </c>
      <c r="T22" s="825" t="s">
        <v>1020</v>
      </c>
      <c r="U22" s="826" t="s">
        <v>1020</v>
      </c>
      <c r="V22" s="827" t="s">
        <v>1021</v>
      </c>
    </row>
    <row r="23" spans="1:27" x14ac:dyDescent="0.35">
      <c r="A23" s="828"/>
      <c r="B23" s="829" t="s">
        <v>1037</v>
      </c>
      <c r="C23" s="829">
        <v>2</v>
      </c>
      <c r="D23" s="829">
        <v>4750</v>
      </c>
      <c r="E23" s="830">
        <f>D23*(1+F23*$N$11)</f>
        <v>5605</v>
      </c>
      <c r="F23" s="831">
        <v>12</v>
      </c>
      <c r="G23" s="832">
        <f>IF(D23=0,0,D23*1000/F23)</f>
        <v>395833.33333333331</v>
      </c>
      <c r="H23" s="832">
        <f>D23*1000*$G$9*0.5</f>
        <v>118750</v>
      </c>
      <c r="I23" s="832">
        <f>D23*1000*$N$9</f>
        <v>285000</v>
      </c>
      <c r="J23" s="833">
        <f>25*5</f>
        <v>125</v>
      </c>
      <c r="K23" s="834">
        <f>G23+H23+I23+J23*$G$11</f>
        <v>808958.33333333326</v>
      </c>
      <c r="L23" s="835">
        <f>0.03*D23*1000</f>
        <v>142500</v>
      </c>
      <c r="M23" s="837">
        <v>5</v>
      </c>
      <c r="N23" s="832">
        <f>D23*1000*M23/100</f>
        <v>237500</v>
      </c>
      <c r="O23" s="833">
        <v>80</v>
      </c>
      <c r="P23" s="836">
        <v>0.9</v>
      </c>
      <c r="Q23" s="833">
        <v>4000</v>
      </c>
      <c r="R23" s="837">
        <v>1</v>
      </c>
      <c r="S23" s="836">
        <v>0.75</v>
      </c>
      <c r="T23" s="838">
        <f>(O23*$N$13*P23+Q23/1000*$N$15+R23*$N$17)</f>
        <v>17.16</v>
      </c>
      <c r="U23" s="839">
        <f>IF(K23=0,"",(($K23+$L23+$N23)/$V23)+$T23)</f>
        <v>292.38183641975309</v>
      </c>
      <c r="V23" s="840">
        <f>G$13*C23*$G$15*$S23</f>
        <v>4320</v>
      </c>
      <c r="X23" s="820">
        <f>U23/Y$21</f>
        <v>324.86870713305899</v>
      </c>
      <c r="AA23" s="820">
        <f>(G24+H24+I24)/Y$21</f>
        <v>205.65414951989027</v>
      </c>
    </row>
    <row r="24" spans="1:27" x14ac:dyDescent="0.35">
      <c r="A24" s="773"/>
      <c r="B24" s="841"/>
      <c r="C24" s="842"/>
      <c r="D24" s="842"/>
      <c r="E24" s="842"/>
      <c r="F24" s="843"/>
      <c r="G24" s="844">
        <f>IF(G23=0,0,G23/V23)</f>
        <v>91.628086419753089</v>
      </c>
      <c r="H24" s="844">
        <f>IF(H23=0,0,H23/V23)</f>
        <v>27.488425925925927</v>
      </c>
      <c r="I24" s="844">
        <f>IF(I23=0,0,I23/V23)</f>
        <v>65.972222222222229</v>
      </c>
      <c r="J24" s="844">
        <f>IF(J23=0,0,J23/V23)</f>
        <v>2.8935185185185185E-2</v>
      </c>
      <c r="K24" s="844">
        <f>IF(K23=0,0,K23/V23)</f>
        <v>187.2588734567901</v>
      </c>
      <c r="L24" s="844">
        <f>IF(L23=0,0,L23/V23)</f>
        <v>32.986111111111114</v>
      </c>
      <c r="M24" s="876"/>
      <c r="N24" s="844">
        <f>IF(N23=0,0,N23/V23)</f>
        <v>54.976851851851855</v>
      </c>
      <c r="O24" s="845"/>
      <c r="P24" s="845"/>
      <c r="Q24" s="845"/>
      <c r="R24" s="845"/>
      <c r="S24" s="845"/>
      <c r="T24" s="846"/>
      <c r="U24" s="847"/>
      <c r="V24" s="848"/>
      <c r="AA24" s="820"/>
    </row>
    <row r="25" spans="1:27" x14ac:dyDescent="0.35">
      <c r="A25" s="773"/>
      <c r="B25" s="829" t="s">
        <v>1030</v>
      </c>
      <c r="C25" s="849">
        <v>2</v>
      </c>
      <c r="D25" s="849">
        <v>800</v>
      </c>
      <c r="E25" s="830">
        <f>D25*(1+F25*$N$11)</f>
        <v>896.00000000000011</v>
      </c>
      <c r="F25" s="831">
        <v>8</v>
      </c>
      <c r="G25" s="832">
        <f>IF(D25=0,0,D25*1000/F25)</f>
        <v>100000</v>
      </c>
      <c r="H25" s="832">
        <f>D25*1000*$G$9*0.5</f>
        <v>20000</v>
      </c>
      <c r="I25" s="832">
        <f>D25*1000*$N$9</f>
        <v>48000</v>
      </c>
      <c r="J25" s="833">
        <f>6*3</f>
        <v>18</v>
      </c>
      <c r="K25" s="834">
        <f>G25+H25+I25+J25*$G$11</f>
        <v>169350</v>
      </c>
      <c r="L25" s="835">
        <f>0.04*D25*1000</f>
        <v>32000</v>
      </c>
      <c r="M25" s="837">
        <v>5</v>
      </c>
      <c r="N25" s="832">
        <f>D25*1000*M25/100</f>
        <v>40000</v>
      </c>
      <c r="O25" s="833">
        <v>30</v>
      </c>
      <c r="P25" s="836">
        <v>0.9</v>
      </c>
      <c r="Q25" s="833">
        <v>3000</v>
      </c>
      <c r="R25" s="837">
        <v>0.5</v>
      </c>
      <c r="S25" s="836">
        <f>S23</f>
        <v>0.75</v>
      </c>
      <c r="T25" s="838">
        <f>(O25*$N$13*P25+Q25/1000*$N$15+R25*$N$17)</f>
        <v>6.629999999999999</v>
      </c>
      <c r="U25" s="839">
        <f>IF(K25=0,"",(($K25+$L25+$N25)/$V25)+$T25)</f>
        <v>62.498055555555553</v>
      </c>
      <c r="V25" s="840">
        <f>G$13*C25*$G$15*$S25</f>
        <v>4320</v>
      </c>
      <c r="X25" s="820">
        <f>U25/Y$21</f>
        <v>69.442283950617281</v>
      </c>
      <c r="AA25" s="820">
        <f>(G26+H26+I26)/Y$21</f>
        <v>43.209876543209873</v>
      </c>
    </row>
    <row r="26" spans="1:27" x14ac:dyDescent="0.35">
      <c r="A26" s="773"/>
      <c r="B26" s="842"/>
      <c r="C26" s="842"/>
      <c r="D26" s="842"/>
      <c r="E26" s="842"/>
      <c r="F26" s="843"/>
      <c r="G26" s="844">
        <f>IF(G25=0,0,G25/V25)</f>
        <v>23.148148148148149</v>
      </c>
      <c r="H26" s="844">
        <f>IF(H25=0,0,H25/V25)</f>
        <v>4.6296296296296298</v>
      </c>
      <c r="I26" s="844">
        <f>IF(I25=0,0,I25/V25)</f>
        <v>11.111111111111111</v>
      </c>
      <c r="J26" s="844">
        <f>IF(J25=0,0,J25/V25)</f>
        <v>4.1666666666666666E-3</v>
      </c>
      <c r="K26" s="844">
        <f>IF(K25=0,0,K25/V25)</f>
        <v>39.201388888888886</v>
      </c>
      <c r="L26" s="844">
        <f>IF(L25=0,0,L25/V25)</f>
        <v>7.4074074074074074</v>
      </c>
      <c r="M26" s="876"/>
      <c r="N26" s="844">
        <f>IF(N25=0,0,N25/V25)</f>
        <v>9.2592592592592595</v>
      </c>
      <c r="O26" s="845"/>
      <c r="P26" s="845"/>
      <c r="Q26" s="845"/>
      <c r="R26" s="845"/>
      <c r="S26" s="845"/>
      <c r="T26" s="846"/>
      <c r="U26" s="847"/>
      <c r="V26" s="848"/>
      <c r="X26" s="820"/>
      <c r="AA26" s="820"/>
    </row>
    <row r="27" spans="1:27" x14ac:dyDescent="0.35">
      <c r="A27" s="773"/>
      <c r="B27" s="829" t="s">
        <v>1022</v>
      </c>
      <c r="C27" s="849">
        <v>2</v>
      </c>
      <c r="D27" s="849">
        <v>2000</v>
      </c>
      <c r="E27" s="830">
        <f>D27*(1+F27*$N$11)</f>
        <v>2240</v>
      </c>
      <c r="F27" s="831">
        <v>8</v>
      </c>
      <c r="G27" s="832">
        <f>IF(D27=0,0,D27*1000/F27)</f>
        <v>250000</v>
      </c>
      <c r="H27" s="832">
        <f>D27*1000*$G$9*0.5</f>
        <v>50000</v>
      </c>
      <c r="I27" s="832">
        <f>D27*1000*$N$9</f>
        <v>120000</v>
      </c>
      <c r="J27" s="833">
        <f>10*3</f>
        <v>30</v>
      </c>
      <c r="K27" s="834">
        <f>G27+H27+I27+J27*$G$11</f>
        <v>422250</v>
      </c>
      <c r="L27" s="835">
        <f>0.03*D27*1000</f>
        <v>60000</v>
      </c>
      <c r="M27" s="837">
        <v>5</v>
      </c>
      <c r="N27" s="832">
        <f>D27*1000*M27/100</f>
        <v>100000</v>
      </c>
      <c r="O27" s="833">
        <v>40</v>
      </c>
      <c r="P27" s="836">
        <v>0.9</v>
      </c>
      <c r="Q27" s="833">
        <v>3000</v>
      </c>
      <c r="R27" s="837">
        <v>0.5</v>
      </c>
      <c r="S27" s="836">
        <f>S23</f>
        <v>0.75</v>
      </c>
      <c r="T27" s="838">
        <f>(O27*$N$13*P27+Q27/1000*$N$15+R27*$N$17)</f>
        <v>8.6100000000000012</v>
      </c>
      <c r="U27" s="839">
        <f>IF(K27=0,"",(($K27+$L27+$N27)/$V27)+$T27)</f>
        <v>143.39009259259259</v>
      </c>
      <c r="V27" s="840">
        <f>G$13*C27*$G$15*$S27</f>
        <v>4320</v>
      </c>
      <c r="X27" s="820">
        <f>U27/Y$21</f>
        <v>159.32232510288065</v>
      </c>
      <c r="AA27" s="820">
        <f>(G28+H28+I28)/Y$21</f>
        <v>108.0246913580247</v>
      </c>
    </row>
    <row r="28" spans="1:27" x14ac:dyDescent="0.35">
      <c r="A28" s="773"/>
      <c r="B28" s="842"/>
      <c r="C28" s="842"/>
      <c r="D28" s="842"/>
      <c r="E28" s="842"/>
      <c r="F28" s="843"/>
      <c r="G28" s="844">
        <f>IF(G27=0,0,G27/V27)</f>
        <v>57.870370370370374</v>
      </c>
      <c r="H28" s="844">
        <f>IF(H27=0,0,H27/V27)</f>
        <v>11.574074074074074</v>
      </c>
      <c r="I28" s="844">
        <f>IF(I27=0,0,I27/V27)</f>
        <v>27.777777777777779</v>
      </c>
      <c r="J28" s="844">
        <f>IF(J27=0,0,J27/V27)</f>
        <v>6.9444444444444441E-3</v>
      </c>
      <c r="K28" s="844">
        <f>IF(K27=0,0,K27/V27)</f>
        <v>97.743055555555557</v>
      </c>
      <c r="L28" s="844">
        <f>IF(L27=0,0,L27/V27)</f>
        <v>13.888888888888889</v>
      </c>
      <c r="M28" s="876"/>
      <c r="N28" s="844">
        <f>IF(N27=0,0,N27/V27)</f>
        <v>23.148148148148149</v>
      </c>
      <c r="O28" s="845"/>
      <c r="P28" s="845"/>
      <c r="Q28" s="845"/>
      <c r="R28" s="845"/>
      <c r="S28" s="845"/>
      <c r="T28" s="846"/>
      <c r="U28" s="847"/>
      <c r="V28" s="848"/>
      <c r="AA28" s="820"/>
    </row>
    <row r="29" spans="1:27" x14ac:dyDescent="0.35">
      <c r="A29" s="773"/>
      <c r="B29" s="849" t="s">
        <v>1044</v>
      </c>
      <c r="C29" s="849">
        <v>2</v>
      </c>
      <c r="D29" s="849">
        <v>1800</v>
      </c>
      <c r="E29" s="830">
        <f>D29*(1+F29*$N$11)</f>
        <v>1989</v>
      </c>
      <c r="F29" s="831">
        <v>7</v>
      </c>
      <c r="G29" s="832">
        <f>IF(D29=0,0,D29*1000/F29)</f>
        <v>257142.85714285713</v>
      </c>
      <c r="H29" s="832">
        <f>D29*1000*$G$9*0.5</f>
        <v>45000</v>
      </c>
      <c r="I29" s="832">
        <f>D29*1000*$N$9</f>
        <v>108000</v>
      </c>
      <c r="J29" s="833">
        <f>12*5</f>
        <v>60</v>
      </c>
      <c r="K29" s="834">
        <f>G29+H29+I29+J29*$G$11</f>
        <v>414642.85714285716</v>
      </c>
      <c r="L29" s="835">
        <f>0.03*D29*1000</f>
        <v>54000</v>
      </c>
      <c r="M29" s="837">
        <v>5</v>
      </c>
      <c r="N29" s="832">
        <f>D29*1000*M29/100</f>
        <v>90000</v>
      </c>
      <c r="O29" s="833">
        <v>20</v>
      </c>
      <c r="P29" s="836">
        <v>0.9</v>
      </c>
      <c r="Q29" s="833">
        <v>3000</v>
      </c>
      <c r="R29" s="837">
        <v>0.5</v>
      </c>
      <c r="S29" s="836">
        <f>S23</f>
        <v>0.75</v>
      </c>
      <c r="T29" s="838">
        <f>(O29*$N$13*P29+Q29/1000*$N$15+R29*$N$17)</f>
        <v>4.6500000000000004</v>
      </c>
      <c r="U29" s="839">
        <f>IF(K29=0,"",(($K29+$L29+$N29)/$V29)+$T29)</f>
        <v>133.96547619047621</v>
      </c>
      <c r="V29" s="840">
        <f>G$13*C29*$G$15*$S29</f>
        <v>4320</v>
      </c>
      <c r="X29" s="820">
        <f>U29/Y$21</f>
        <v>148.85052910052912</v>
      </c>
      <c r="AA29" s="820">
        <f>(G30+H30+I30)/Y$21</f>
        <v>105.48941798941799</v>
      </c>
    </row>
    <row r="30" spans="1:27" x14ac:dyDescent="0.35">
      <c r="A30" s="773"/>
      <c r="B30" s="842"/>
      <c r="C30" s="842"/>
      <c r="D30" s="842"/>
      <c r="E30" s="842"/>
      <c r="F30" s="843"/>
      <c r="G30" s="844">
        <f>IF(G29=0,0,G29/V29)</f>
        <v>59.523809523809518</v>
      </c>
      <c r="H30" s="844">
        <f>IF(H29=0,0,H29/V29)</f>
        <v>10.416666666666666</v>
      </c>
      <c r="I30" s="844">
        <f>IF(I29=0,0,I29/V29)</f>
        <v>25</v>
      </c>
      <c r="J30" s="844">
        <f>IF(J29=0,0,J29/V29)</f>
        <v>1.3888888888888888E-2</v>
      </c>
      <c r="K30" s="844">
        <f>IF(K29=0,0,K29/V29)</f>
        <v>95.982142857142861</v>
      </c>
      <c r="L30" s="844">
        <f>IF(L29=0,0,L29/V29)</f>
        <v>12.5</v>
      </c>
      <c r="M30" s="876"/>
      <c r="N30" s="844">
        <f>IF(N29=0,0,N29/V29)</f>
        <v>20.833333333333332</v>
      </c>
      <c r="O30" s="845"/>
      <c r="P30" s="845"/>
      <c r="Q30" s="845"/>
      <c r="R30" s="845"/>
      <c r="S30" s="845"/>
      <c r="T30" s="846"/>
      <c r="U30" s="847"/>
      <c r="V30" s="848"/>
      <c r="AA30" s="820"/>
    </row>
    <row r="31" spans="1:27" x14ac:dyDescent="0.35">
      <c r="A31" s="773"/>
      <c r="B31" s="849" t="s">
        <v>1031</v>
      </c>
      <c r="C31" s="849">
        <v>2</v>
      </c>
      <c r="D31" s="849">
        <v>1400</v>
      </c>
      <c r="E31" s="830">
        <f>D31*(1+F31*$N$11)</f>
        <v>1547</v>
      </c>
      <c r="F31" s="831">
        <v>7</v>
      </c>
      <c r="G31" s="832">
        <f>IF(D31=0,0,D31*1000/F31)</f>
        <v>200000</v>
      </c>
      <c r="H31" s="832">
        <f>D31*1000*$G$9*0.5</f>
        <v>35000</v>
      </c>
      <c r="I31" s="832">
        <f>D31*1000*$N$9</f>
        <v>84000</v>
      </c>
      <c r="J31" s="833">
        <f>5*5</f>
        <v>25</v>
      </c>
      <c r="K31" s="834">
        <f>G31+H31+I31+J31*$G$11</f>
        <v>320875</v>
      </c>
      <c r="L31" s="835">
        <f>0.03*D31*1000</f>
        <v>42000</v>
      </c>
      <c r="M31" s="837">
        <v>5</v>
      </c>
      <c r="N31" s="832">
        <f>D31*1000*M31/100</f>
        <v>70000</v>
      </c>
      <c r="O31" s="833">
        <v>25</v>
      </c>
      <c r="P31" s="836">
        <v>0.8</v>
      </c>
      <c r="Q31" s="833">
        <v>2000</v>
      </c>
      <c r="R31" s="837">
        <v>0</v>
      </c>
      <c r="S31" s="836">
        <f>S29</f>
        <v>0.75</v>
      </c>
      <c r="T31" s="838">
        <f>(O31*$N$13*P31+Q31/1000*$N$15+R31*$N$17)</f>
        <v>4.46</v>
      </c>
      <c r="U31" s="839">
        <f>IF(K31=0,"",(($K31+$L31+$N31)/$V31)+$T31)</f>
        <v>104.66254629629628</v>
      </c>
      <c r="V31" s="840">
        <f>G$13*C31*$G$15*$S31</f>
        <v>4320</v>
      </c>
      <c r="X31" s="820">
        <f>U31/Y$21</f>
        <v>116.29171810699587</v>
      </c>
      <c r="AA31" s="820">
        <f>(G32+H32+I32)/Y$21</f>
        <v>82.047325102880663</v>
      </c>
    </row>
    <row r="32" spans="1:27" x14ac:dyDescent="0.35">
      <c r="A32" s="773"/>
      <c r="B32" s="841"/>
      <c r="C32" s="841"/>
      <c r="D32" s="841"/>
      <c r="E32" s="841"/>
      <c r="F32" s="843"/>
      <c r="G32" s="844">
        <f>IF(G31=0,0,G31/V31)</f>
        <v>46.296296296296298</v>
      </c>
      <c r="H32" s="844">
        <f>IF(H31=0,0,H31/V31)</f>
        <v>8.1018518518518512</v>
      </c>
      <c r="I32" s="844">
        <f>IF(I31=0,0,I31/V31)</f>
        <v>19.444444444444443</v>
      </c>
      <c r="J32" s="844">
        <f>IF(J31=0,0,J31/V31)</f>
        <v>5.7870370370370367E-3</v>
      </c>
      <c r="K32" s="844">
        <f>IF(K31=0,0,K31/V31)</f>
        <v>74.276620370370367</v>
      </c>
      <c r="L32" s="844">
        <f>IF(L31=0,0,L31/V31)</f>
        <v>9.7222222222222214</v>
      </c>
      <c r="M32" s="876"/>
      <c r="N32" s="844">
        <f>IF(N31=0,0,N31/V31)</f>
        <v>16.203703703703702</v>
      </c>
      <c r="O32" s="845"/>
      <c r="P32" s="845"/>
      <c r="Q32" s="845"/>
      <c r="R32" s="845"/>
      <c r="S32" s="845"/>
      <c r="T32" s="846"/>
      <c r="U32" s="847"/>
      <c r="V32" s="848"/>
      <c r="AA32" s="820"/>
    </row>
    <row r="33" spans="1:27" x14ac:dyDescent="0.35">
      <c r="A33" s="773"/>
      <c r="B33" s="849" t="s">
        <v>1034</v>
      </c>
      <c r="C33" s="849">
        <v>2</v>
      </c>
      <c r="D33" s="849">
        <v>150</v>
      </c>
      <c r="E33" s="830">
        <f>D33*(1+F33*$N$11)</f>
        <v>165.75</v>
      </c>
      <c r="F33" s="831">
        <v>7</v>
      </c>
      <c r="G33" s="832">
        <f>IF(D33=0,0,D33*1000/F33)</f>
        <v>21428.571428571428</v>
      </c>
      <c r="H33" s="832">
        <f>D33*1000*$G$9*0.5</f>
        <v>3750</v>
      </c>
      <c r="I33" s="832">
        <f>D33*1000*$N$9</f>
        <v>9000</v>
      </c>
      <c r="J33" s="833">
        <v>6</v>
      </c>
      <c r="K33" s="834">
        <f>G33+H33+I33+J33*$G$11</f>
        <v>34628.571428571428</v>
      </c>
      <c r="L33" s="835">
        <f>0.02*D33*1000</f>
        <v>3000</v>
      </c>
      <c r="M33" s="837">
        <v>5</v>
      </c>
      <c r="N33" s="832">
        <f>D33*1000*M33/100</f>
        <v>7500</v>
      </c>
      <c r="O33" s="833">
        <v>2</v>
      </c>
      <c r="P33" s="836">
        <v>0.8</v>
      </c>
      <c r="Q33" s="833">
        <v>500</v>
      </c>
      <c r="R33" s="837">
        <v>0</v>
      </c>
      <c r="S33" s="836">
        <f>S31</f>
        <v>0.75</v>
      </c>
      <c r="T33" s="838">
        <f>(O33*$N$13*P33+Q33/1000*$N$15+R33*$N$17)</f>
        <v>0.36700000000000005</v>
      </c>
      <c r="U33" s="839">
        <f>IF(K33=0,"",(($K33+$L33+$N33)/$V33)+$T33)</f>
        <v>10.813428571428572</v>
      </c>
      <c r="V33" s="840">
        <f>G$13*C33*$G$15*$S33</f>
        <v>4320</v>
      </c>
      <c r="X33" s="820">
        <f>U33/Y$21</f>
        <v>12.014920634920635</v>
      </c>
      <c r="AA33" s="820">
        <f>(G34+H34+I34)/Y$21</f>
        <v>8.7907848324515001</v>
      </c>
    </row>
    <row r="34" spans="1:27" x14ac:dyDescent="0.35">
      <c r="A34" s="773"/>
      <c r="B34" s="841"/>
      <c r="C34" s="841"/>
      <c r="D34" s="841"/>
      <c r="E34" s="841"/>
      <c r="F34" s="843"/>
      <c r="G34" s="844">
        <f>IF(G33=0,0,G33/V33)</f>
        <v>4.9603174603174605</v>
      </c>
      <c r="H34" s="844">
        <f>IF(H33=0,0,H33/V33)</f>
        <v>0.86805555555555558</v>
      </c>
      <c r="I34" s="844">
        <f>IF(I33=0,0,I33/V33)</f>
        <v>2.0833333333333335</v>
      </c>
      <c r="J34" s="844">
        <f>IF(J33=0,0,J33/V33)</f>
        <v>1.3888888888888889E-3</v>
      </c>
      <c r="K34" s="844">
        <f>IF(K33=0,0,K33/V33)</f>
        <v>8.0158730158730158</v>
      </c>
      <c r="L34" s="844">
        <f>IF(L33=0,0,L33/V33)</f>
        <v>0.69444444444444442</v>
      </c>
      <c r="M34" s="876"/>
      <c r="N34" s="844">
        <f>IF(N33=0,0,N33/V33)</f>
        <v>1.7361111111111112</v>
      </c>
      <c r="O34" s="845"/>
      <c r="P34" s="845"/>
      <c r="Q34" s="845"/>
      <c r="R34" s="845"/>
      <c r="S34" s="845"/>
      <c r="T34" s="846"/>
      <c r="U34" s="847"/>
      <c r="V34" s="848"/>
      <c r="AA34" s="820"/>
    </row>
    <row r="35" spans="1:27" x14ac:dyDescent="0.35">
      <c r="A35" s="773"/>
      <c r="B35" s="849" t="s">
        <v>1036</v>
      </c>
      <c r="C35" s="849">
        <v>2</v>
      </c>
      <c r="D35" s="849">
        <v>180</v>
      </c>
      <c r="E35" s="830">
        <f>D35*(1+F35*$N$11)</f>
        <v>198.9</v>
      </c>
      <c r="F35" s="831">
        <v>7</v>
      </c>
      <c r="G35" s="832">
        <f>IF(D35=0,0,D35*1000/F35)</f>
        <v>25714.285714285714</v>
      </c>
      <c r="H35" s="832">
        <f>D35*1000*$G$9*0.5</f>
        <v>4500</v>
      </c>
      <c r="I35" s="832">
        <f>D35*1000*$N$9</f>
        <v>10800</v>
      </c>
      <c r="J35" s="833">
        <v>6</v>
      </c>
      <c r="K35" s="834">
        <f>G35+H35+I35+J35*$G$11</f>
        <v>41464.28571428571</v>
      </c>
      <c r="L35" s="835">
        <f>0.02*D35*1000</f>
        <v>3600</v>
      </c>
      <c r="M35" s="837">
        <v>5</v>
      </c>
      <c r="N35" s="832">
        <f>D35*1000*M35/100</f>
        <v>9000</v>
      </c>
      <c r="O35" s="833">
        <v>2</v>
      </c>
      <c r="P35" s="836">
        <v>0.6</v>
      </c>
      <c r="Q35" s="833">
        <v>500</v>
      </c>
      <c r="R35" s="837">
        <v>0</v>
      </c>
      <c r="S35" s="836">
        <f>S33</f>
        <v>0.75</v>
      </c>
      <c r="T35" s="838">
        <f>(O35*$N$13*P35+Q35/1000*$N$15+R35*$N$17)</f>
        <v>0.27900000000000003</v>
      </c>
      <c r="U35" s="839">
        <f>IF(K35=0,"",(($K35+$L35+$N35)/$V35)+$T35)</f>
        <v>12.793880952380951</v>
      </c>
      <c r="V35" s="840">
        <f>G$13*C35*$G$15*$S35</f>
        <v>4320</v>
      </c>
      <c r="X35" s="820">
        <f>U35/Y$21</f>
        <v>14.215423280423279</v>
      </c>
      <c r="AA35" s="820">
        <f>(G36+H36+I36)/Y$21</f>
        <v>10.548941798941801</v>
      </c>
    </row>
    <row r="36" spans="1:27" x14ac:dyDescent="0.35">
      <c r="A36" s="773"/>
      <c r="B36" s="842"/>
      <c r="C36" s="842"/>
      <c r="D36" s="842"/>
      <c r="E36" s="842"/>
      <c r="F36" s="843"/>
      <c r="G36" s="844">
        <f>IF(G35=0,0,G35/V35)</f>
        <v>5.9523809523809526</v>
      </c>
      <c r="H36" s="844">
        <f>IF(H35=0,0,H35/V35)</f>
        <v>1.0416666666666667</v>
      </c>
      <c r="I36" s="844">
        <f>IF(I35=0,0,I35/V35)</f>
        <v>2.5</v>
      </c>
      <c r="J36" s="844">
        <f>IF(J35=0,0,J35/V35)</f>
        <v>1.3888888888888889E-3</v>
      </c>
      <c r="K36" s="844">
        <f>IF(K35=0,0,K35/V35)</f>
        <v>9.5982142857142847</v>
      </c>
      <c r="L36" s="844">
        <f>IF(L35=0,0,L35/V35)</f>
        <v>0.83333333333333337</v>
      </c>
      <c r="M36" s="876"/>
      <c r="N36" s="844">
        <f>IF(N35=0,0,N35/V35)</f>
        <v>2.0833333333333335</v>
      </c>
      <c r="O36" s="845"/>
      <c r="P36" s="845"/>
      <c r="Q36" s="845"/>
      <c r="R36" s="845"/>
      <c r="S36" s="845"/>
      <c r="T36" s="846"/>
      <c r="U36" s="847"/>
      <c r="V36" s="848"/>
      <c r="AA36" s="820"/>
    </row>
    <row r="37" spans="1:27" x14ac:dyDescent="0.35">
      <c r="A37" s="773"/>
      <c r="B37" s="849" t="s">
        <v>1032</v>
      </c>
      <c r="C37" s="849">
        <v>2</v>
      </c>
      <c r="D37" s="849">
        <v>40</v>
      </c>
      <c r="E37" s="830">
        <f>D37*(1+F37*$N$11)</f>
        <v>46</v>
      </c>
      <c r="F37" s="831">
        <v>10</v>
      </c>
      <c r="G37" s="832">
        <f>IF(D37=0,0,D37*1000/F37)</f>
        <v>4000</v>
      </c>
      <c r="H37" s="832">
        <f>D37*1000*$G$9*0.5</f>
        <v>1000</v>
      </c>
      <c r="I37" s="832">
        <f>D37*1000*$N$9</f>
        <v>2400</v>
      </c>
      <c r="J37" s="833">
        <v>3</v>
      </c>
      <c r="K37" s="834">
        <f>G37+H37+I37+J37*$G$11</f>
        <v>7625</v>
      </c>
      <c r="L37" s="835">
        <f>0.02*D37*1000</f>
        <v>800</v>
      </c>
      <c r="M37" s="837">
        <v>5</v>
      </c>
      <c r="N37" s="832">
        <f>D37*1000*M37/100</f>
        <v>2000</v>
      </c>
      <c r="O37" s="833">
        <v>1.5</v>
      </c>
      <c r="P37" s="836">
        <v>0.6</v>
      </c>
      <c r="Q37" s="833">
        <v>500</v>
      </c>
      <c r="R37" s="837">
        <v>0</v>
      </c>
      <c r="S37" s="836">
        <f>S35</f>
        <v>0.75</v>
      </c>
      <c r="T37" s="838">
        <f>(O37*$N$13*P37+Q37/1000*$N$15+R37*$N$17)</f>
        <v>0.21300000000000002</v>
      </c>
      <c r="U37" s="839">
        <f>IF(K37=0,"",(($K37+$L37+$N37)/$V37)+$T37)</f>
        <v>2.6261944444444447</v>
      </c>
      <c r="V37" s="840">
        <f>G$13*C37*$G$15*$S37</f>
        <v>4320</v>
      </c>
      <c r="X37" s="820">
        <f>U37/Y$21</f>
        <v>2.9179938271604939</v>
      </c>
      <c r="AA37" s="820">
        <f>(G38+H38+I38)/Y$21</f>
        <v>1.9032921810699588</v>
      </c>
    </row>
    <row r="38" spans="1:27" x14ac:dyDescent="0.35">
      <c r="A38" s="773"/>
      <c r="B38" s="850"/>
      <c r="C38" s="850"/>
      <c r="D38" s="850"/>
      <c r="E38" s="850"/>
      <c r="F38" s="843"/>
      <c r="G38" s="844">
        <f>IF(G37=0,0,G37/V37)</f>
        <v>0.92592592592592593</v>
      </c>
      <c r="H38" s="844">
        <f>IF(H37=0,0,H37/V37)</f>
        <v>0.23148148148148148</v>
      </c>
      <c r="I38" s="844">
        <f>IF(I37=0,0,I37/V37)</f>
        <v>0.55555555555555558</v>
      </c>
      <c r="J38" s="844">
        <f>IF(J37=0,0,J37/V37)</f>
        <v>6.9444444444444447E-4</v>
      </c>
      <c r="K38" s="844">
        <f>IF(K37=0,0,K37/V37)</f>
        <v>1.7650462962962963</v>
      </c>
      <c r="L38" s="844">
        <f>IF(L37=0,0,L37/V37)</f>
        <v>0.18518518518518517</v>
      </c>
      <c r="M38" s="876"/>
      <c r="N38" s="844">
        <f>IF(N37=0,0,N37/V37)</f>
        <v>0.46296296296296297</v>
      </c>
      <c r="O38" s="845"/>
      <c r="P38" s="845"/>
      <c r="Q38" s="845"/>
      <c r="R38" s="845"/>
      <c r="S38" s="845"/>
      <c r="T38" s="846"/>
      <c r="U38" s="847"/>
      <c r="V38" s="848"/>
    </row>
    <row r="39" spans="1:27" x14ac:dyDescent="0.35">
      <c r="A39" s="773"/>
      <c r="B39" s="849"/>
      <c r="C39" s="849"/>
      <c r="D39" s="849"/>
      <c r="E39" s="830">
        <f>D39*(1+F39*$N$11)</f>
        <v>0</v>
      </c>
      <c r="F39" s="831"/>
      <c r="G39" s="832">
        <f>IF(D39=0,0,D39*1000/F39)</f>
        <v>0</v>
      </c>
      <c r="H39" s="832">
        <f>D39*1000*$G$9*0.5</f>
        <v>0</v>
      </c>
      <c r="I39" s="832">
        <f>D39*1000*$N$9</f>
        <v>0</v>
      </c>
      <c r="J39" s="833"/>
      <c r="K39" s="834">
        <f>G39+H39+I39+J39*$G$11</f>
        <v>0</v>
      </c>
      <c r="L39" s="835">
        <f>L37</f>
        <v>800</v>
      </c>
      <c r="M39" s="837"/>
      <c r="N39" s="832">
        <f>D39*1000*M39/100</f>
        <v>0</v>
      </c>
      <c r="O39" s="833"/>
      <c r="P39" s="836"/>
      <c r="Q39" s="833"/>
      <c r="R39" s="837"/>
      <c r="S39" s="836"/>
      <c r="T39" s="838">
        <f>(O39*$N$13*P39+Q39/1000*$N$15+R39*$N$17)</f>
        <v>0</v>
      </c>
      <c r="U39" s="839" t="str">
        <f>IF(K39=0,"",(($K39+$L39+$N39)/$V39)+$T39)</f>
        <v/>
      </c>
      <c r="V39" s="840">
        <f>G$13*C39*$G$15*$S39</f>
        <v>0</v>
      </c>
      <c r="X39" s="820" t="e">
        <f>U39/Y$21</f>
        <v>#VALUE!</v>
      </c>
    </row>
    <row r="40" spans="1:27" ht="13.15" thickBot="1" x14ac:dyDescent="0.4">
      <c r="A40" s="773"/>
      <c r="B40" s="850"/>
      <c r="C40" s="850"/>
      <c r="D40" s="850"/>
      <c r="E40" s="850"/>
      <c r="F40" s="843"/>
      <c r="G40" s="844">
        <f>IF(G39=0,0,G39/V39)</f>
        <v>0</v>
      </c>
      <c r="H40" s="844">
        <f>IF(H39=0,0,H39/V39)</f>
        <v>0</v>
      </c>
      <c r="I40" s="844">
        <f>IF(I39=0,0,I39/V39)</f>
        <v>0</v>
      </c>
      <c r="J40" s="844">
        <f>IF(J39=0,0,J39/V39)</f>
        <v>0</v>
      </c>
      <c r="K40" s="844">
        <f>IF(K39=0,0,K39/V39)</f>
        <v>0</v>
      </c>
      <c r="L40" s="844" t="e">
        <f>IF(L39=0,0,L39/V39)</f>
        <v>#DIV/0!</v>
      </c>
      <c r="M40" s="876"/>
      <c r="N40" s="844">
        <f>IF(N39=0,0,N39/V39)</f>
        <v>0</v>
      </c>
      <c r="O40" s="845"/>
      <c r="P40" s="845"/>
      <c r="Q40" s="845"/>
      <c r="R40" s="845"/>
      <c r="S40" s="845"/>
      <c r="T40" s="846"/>
      <c r="U40" s="851"/>
      <c r="V40" s="852"/>
    </row>
    <row r="41" spans="1:27" x14ac:dyDescent="0.35">
      <c r="A41" s="730"/>
      <c r="B41" s="730"/>
      <c r="C41" s="730"/>
      <c r="D41" s="730"/>
      <c r="E41" s="730"/>
      <c r="F41" s="730"/>
      <c r="G41" s="730"/>
      <c r="H41" s="730"/>
      <c r="I41" s="730"/>
      <c r="J41" s="730"/>
      <c r="K41" s="853"/>
      <c r="L41" s="730"/>
      <c r="M41" s="730"/>
      <c r="N41" s="730"/>
      <c r="O41" s="730"/>
      <c r="P41" s="730"/>
      <c r="Q41" s="730"/>
      <c r="R41" s="730"/>
      <c r="S41" s="730"/>
      <c r="T41" s="820"/>
      <c r="U41" s="854"/>
      <c r="V41" s="730"/>
    </row>
    <row r="42" spans="1:27" x14ac:dyDescent="0.35">
      <c r="A42" s="730"/>
      <c r="B42" s="730"/>
      <c r="C42" s="730"/>
      <c r="D42" s="730"/>
      <c r="E42" s="730"/>
      <c r="F42" s="730"/>
      <c r="G42" s="730"/>
      <c r="H42" s="730"/>
      <c r="I42" s="730"/>
      <c r="J42" s="730"/>
      <c r="K42" s="730"/>
      <c r="L42" s="730"/>
      <c r="M42" s="730"/>
      <c r="N42" s="730"/>
      <c r="O42" s="730"/>
      <c r="P42" s="730"/>
      <c r="Q42" s="730"/>
      <c r="R42" s="730"/>
      <c r="S42" s="730"/>
      <c r="T42" s="820"/>
      <c r="U42" s="854"/>
      <c r="V42" s="730"/>
    </row>
    <row r="43" spans="1:27" x14ac:dyDescent="0.35">
      <c r="A43" s="730"/>
      <c r="B43" s="730"/>
      <c r="C43" s="730"/>
      <c r="D43" s="730"/>
      <c r="E43" s="730"/>
      <c r="F43" s="730"/>
      <c r="G43" s="730"/>
      <c r="H43" s="730"/>
      <c r="I43" s="730"/>
      <c r="J43" s="730"/>
      <c r="K43" s="730"/>
      <c r="L43" s="730"/>
      <c r="M43" s="730"/>
      <c r="N43" s="730"/>
      <c r="O43" s="730"/>
      <c r="P43" s="730"/>
      <c r="Q43" s="730"/>
      <c r="R43" s="730"/>
      <c r="S43" s="730"/>
      <c r="T43" s="820"/>
      <c r="U43" s="854"/>
      <c r="V43" s="730"/>
    </row>
    <row r="44" spans="1:27" x14ac:dyDescent="0.35">
      <c r="A44" s="730"/>
      <c r="B44" s="730"/>
      <c r="C44" s="730"/>
      <c r="D44" s="730"/>
      <c r="E44" s="730"/>
      <c r="F44" s="730"/>
      <c r="G44" s="730"/>
      <c r="H44" s="730"/>
      <c r="I44" s="730"/>
      <c r="J44" s="730"/>
      <c r="K44" s="730"/>
      <c r="L44" s="730"/>
      <c r="M44" s="730"/>
      <c r="N44" s="730"/>
      <c r="O44" s="730"/>
      <c r="P44" s="730"/>
      <c r="Q44" s="730"/>
      <c r="R44" s="730"/>
      <c r="S44" s="730"/>
      <c r="T44" s="820"/>
      <c r="U44" s="854"/>
      <c r="V44" s="730"/>
    </row>
    <row r="45" spans="1:27" x14ac:dyDescent="0.35">
      <c r="A45" s="730"/>
      <c r="B45" s="730"/>
      <c r="C45" s="730"/>
      <c r="D45" s="730"/>
      <c r="E45" s="730"/>
      <c r="F45" s="730"/>
      <c r="G45" s="730"/>
      <c r="H45" s="730"/>
      <c r="I45" s="730"/>
      <c r="J45" s="730"/>
      <c r="K45" s="730"/>
      <c r="L45" s="730"/>
      <c r="M45" s="730"/>
      <c r="N45" s="730"/>
      <c r="O45" s="730"/>
      <c r="P45" s="730"/>
      <c r="Q45" s="730"/>
      <c r="R45" s="730"/>
      <c r="S45" s="730"/>
      <c r="T45" s="730"/>
      <c r="U45" s="854"/>
      <c r="V45" s="730"/>
    </row>
    <row r="46" spans="1:27" x14ac:dyDescent="0.35">
      <c r="A46" s="730"/>
      <c r="B46" s="730"/>
      <c r="C46" s="730"/>
      <c r="D46" s="730"/>
      <c r="E46" s="730"/>
      <c r="F46" s="730"/>
      <c r="G46" s="730"/>
      <c r="H46" s="730"/>
      <c r="I46" s="730"/>
      <c r="J46" s="730"/>
      <c r="K46" s="730"/>
      <c r="L46" s="730"/>
      <c r="M46" s="730"/>
      <c r="N46" s="730"/>
      <c r="O46" s="730"/>
      <c r="P46" s="730"/>
      <c r="Q46" s="730"/>
      <c r="R46" s="730"/>
      <c r="S46" s="730"/>
      <c r="T46" s="730"/>
      <c r="U46" s="854"/>
      <c r="V46" s="730"/>
    </row>
    <row r="47" spans="1:27" x14ac:dyDescent="0.35">
      <c r="A47" s="730"/>
      <c r="B47" s="730"/>
      <c r="C47" s="730"/>
      <c r="D47" s="730"/>
      <c r="E47" s="730"/>
      <c r="F47" s="730"/>
      <c r="G47" s="730"/>
      <c r="H47" s="730"/>
      <c r="I47" s="730"/>
      <c r="J47" s="730"/>
      <c r="K47" s="730"/>
      <c r="L47" s="730"/>
      <c r="M47" s="730"/>
      <c r="N47" s="730"/>
      <c r="O47" s="730"/>
      <c r="P47" s="730"/>
      <c r="Q47" s="730"/>
      <c r="R47" s="730"/>
      <c r="S47" s="730"/>
      <c r="T47" s="730"/>
      <c r="U47" s="854"/>
      <c r="V47" s="730"/>
    </row>
    <row r="48" spans="1:27" x14ac:dyDescent="0.35">
      <c r="A48" s="730"/>
      <c r="B48" s="730"/>
      <c r="C48" s="730"/>
      <c r="D48" s="730"/>
      <c r="E48" s="730"/>
      <c r="F48" s="730"/>
      <c r="G48" s="730"/>
      <c r="H48" s="730"/>
      <c r="I48" s="730"/>
      <c r="J48" s="730"/>
      <c r="K48" s="730"/>
      <c r="L48" s="730"/>
      <c r="M48" s="730"/>
      <c r="N48" s="730"/>
      <c r="O48" s="730"/>
      <c r="P48" s="730"/>
      <c r="Q48" s="730"/>
      <c r="R48" s="730"/>
      <c r="S48" s="730"/>
      <c r="T48" s="730"/>
      <c r="U48" s="854"/>
      <c r="V48" s="730"/>
    </row>
    <row r="49" spans="1:22" x14ac:dyDescent="0.35">
      <c r="A49" s="730"/>
      <c r="B49" s="730"/>
      <c r="C49" s="730"/>
      <c r="D49" s="730"/>
      <c r="E49" s="730"/>
      <c r="F49" s="730"/>
      <c r="G49" s="730"/>
      <c r="H49" s="730"/>
      <c r="I49" s="730"/>
      <c r="J49" s="730"/>
      <c r="K49" s="730"/>
      <c r="L49" s="730"/>
      <c r="M49" s="730"/>
      <c r="N49" s="730"/>
      <c r="O49" s="730"/>
      <c r="P49" s="730"/>
      <c r="Q49" s="730"/>
      <c r="R49" s="730"/>
      <c r="S49" s="730"/>
      <c r="T49" s="730"/>
      <c r="U49" s="854"/>
      <c r="V49" s="730"/>
    </row>
    <row r="50" spans="1:22" x14ac:dyDescent="0.35">
      <c r="A50" s="730"/>
      <c r="B50" s="730"/>
      <c r="C50" s="730"/>
      <c r="D50" s="730"/>
      <c r="E50" s="730"/>
      <c r="F50" s="730"/>
      <c r="G50" s="730"/>
      <c r="H50" s="730"/>
      <c r="I50" s="730"/>
      <c r="J50" s="730"/>
      <c r="K50" s="730"/>
      <c r="L50" s="730"/>
      <c r="M50" s="730"/>
      <c r="N50" s="730"/>
      <c r="O50" s="730"/>
      <c r="P50" s="730"/>
      <c r="Q50" s="730"/>
      <c r="R50" s="730"/>
      <c r="S50" s="730"/>
      <c r="T50" s="730"/>
      <c r="U50" s="854"/>
      <c r="V50" s="730"/>
    </row>
    <row r="51" spans="1:22" x14ac:dyDescent="0.35">
      <c r="A51" s="730"/>
      <c r="B51" s="730"/>
      <c r="C51" s="730"/>
      <c r="D51" s="730"/>
      <c r="E51" s="730"/>
      <c r="F51" s="730"/>
      <c r="G51" s="730"/>
      <c r="H51" s="730"/>
      <c r="I51" s="730"/>
      <c r="J51" s="730"/>
      <c r="K51" s="730"/>
      <c r="L51" s="730"/>
      <c r="M51" s="730"/>
      <c r="N51" s="730"/>
      <c r="O51" s="730"/>
      <c r="P51" s="730"/>
      <c r="Q51" s="730"/>
      <c r="R51" s="730"/>
      <c r="S51" s="730"/>
      <c r="T51" s="730"/>
      <c r="U51" s="854"/>
      <c r="V51" s="730"/>
    </row>
    <row r="52" spans="1:22" x14ac:dyDescent="0.35">
      <c r="A52" s="730"/>
      <c r="B52" s="730"/>
      <c r="C52" s="730"/>
      <c r="D52" s="730"/>
      <c r="E52" s="730"/>
      <c r="F52" s="730"/>
      <c r="G52" s="730"/>
      <c r="H52" s="730"/>
      <c r="I52" s="730"/>
      <c r="J52" s="730"/>
      <c r="K52" s="730"/>
      <c r="L52" s="730"/>
      <c r="M52" s="730"/>
      <c r="N52" s="730"/>
      <c r="O52" s="730"/>
      <c r="P52" s="730"/>
      <c r="Q52" s="730"/>
      <c r="R52" s="730"/>
      <c r="S52" s="730"/>
      <c r="T52" s="730"/>
      <c r="U52" s="854"/>
      <c r="V52" s="730"/>
    </row>
    <row r="53" spans="1:22" x14ac:dyDescent="0.35">
      <c r="A53" s="730"/>
      <c r="B53" s="730"/>
      <c r="C53" s="730"/>
      <c r="D53" s="730"/>
      <c r="E53" s="730"/>
      <c r="F53" s="730"/>
      <c r="G53" s="730"/>
      <c r="H53" s="730"/>
      <c r="I53" s="730"/>
      <c r="J53" s="730"/>
      <c r="K53" s="730"/>
      <c r="L53" s="730"/>
      <c r="M53" s="730"/>
      <c r="N53" s="730"/>
      <c r="O53" s="730"/>
      <c r="P53" s="730"/>
      <c r="Q53" s="730"/>
      <c r="R53" s="730"/>
      <c r="S53" s="730"/>
      <c r="T53" s="730"/>
      <c r="U53" s="854"/>
      <c r="V53" s="730"/>
    </row>
    <row r="54" spans="1:22" x14ac:dyDescent="0.35">
      <c r="A54" s="730"/>
      <c r="B54" s="730"/>
      <c r="C54" s="730"/>
      <c r="D54" s="730"/>
      <c r="E54" s="730"/>
      <c r="F54" s="730"/>
      <c r="G54" s="730"/>
      <c r="H54" s="730"/>
      <c r="I54" s="730"/>
      <c r="J54" s="730"/>
      <c r="K54" s="730"/>
      <c r="L54" s="730"/>
      <c r="M54" s="730"/>
      <c r="N54" s="730"/>
      <c r="O54" s="730"/>
      <c r="P54" s="730"/>
      <c r="Q54" s="730"/>
      <c r="R54" s="730"/>
      <c r="S54" s="730"/>
      <c r="T54" s="730"/>
      <c r="U54" s="854"/>
      <c r="V54" s="730"/>
    </row>
    <row r="55" spans="1:22" x14ac:dyDescent="0.35">
      <c r="A55" s="730"/>
      <c r="B55" s="730"/>
      <c r="C55" s="730"/>
      <c r="D55" s="730"/>
      <c r="E55" s="730"/>
      <c r="F55" s="730"/>
      <c r="G55" s="730"/>
      <c r="H55" s="730"/>
      <c r="I55" s="730"/>
      <c r="J55" s="730"/>
      <c r="K55" s="730"/>
      <c r="L55" s="730"/>
      <c r="M55" s="730"/>
      <c r="N55" s="730"/>
      <c r="O55" s="730"/>
      <c r="P55" s="730"/>
      <c r="Q55" s="730"/>
      <c r="R55" s="730"/>
      <c r="S55" s="730"/>
      <c r="T55" s="730"/>
      <c r="U55" s="854"/>
      <c r="V55" s="730"/>
    </row>
    <row r="56" spans="1:22" x14ac:dyDescent="0.35">
      <c r="A56" s="730"/>
      <c r="B56" s="730"/>
      <c r="C56" s="730"/>
      <c r="D56" s="730"/>
      <c r="E56" s="730"/>
      <c r="F56" s="730"/>
      <c r="G56" s="730"/>
      <c r="H56" s="730"/>
      <c r="I56" s="730"/>
      <c r="J56" s="730"/>
      <c r="K56" s="730"/>
      <c r="L56" s="730"/>
      <c r="M56" s="730"/>
      <c r="N56" s="730"/>
      <c r="O56" s="730"/>
      <c r="P56" s="730"/>
      <c r="Q56" s="730"/>
      <c r="R56" s="730"/>
      <c r="S56" s="730"/>
      <c r="T56" s="730"/>
      <c r="U56" s="854"/>
      <c r="V56" s="730"/>
    </row>
    <row r="57" spans="1:22" x14ac:dyDescent="0.35">
      <c r="A57" s="730"/>
      <c r="B57" s="730"/>
      <c r="C57" s="730"/>
      <c r="D57" s="730"/>
      <c r="E57" s="730"/>
      <c r="F57" s="730"/>
      <c r="G57" s="730"/>
      <c r="H57" s="730"/>
      <c r="I57" s="730"/>
      <c r="J57" s="730"/>
      <c r="K57" s="730"/>
      <c r="L57" s="730"/>
      <c r="M57" s="730"/>
      <c r="N57" s="730"/>
      <c r="O57" s="730"/>
      <c r="P57" s="730"/>
      <c r="Q57" s="730"/>
      <c r="R57" s="730"/>
      <c r="S57" s="730"/>
      <c r="T57" s="730"/>
      <c r="U57" s="854"/>
      <c r="V57" s="730"/>
    </row>
    <row r="58" spans="1:22" x14ac:dyDescent="0.35">
      <c r="A58" s="730"/>
      <c r="B58" s="730"/>
      <c r="C58" s="730"/>
      <c r="D58" s="730"/>
      <c r="E58" s="730"/>
      <c r="F58" s="730"/>
      <c r="G58" s="730"/>
      <c r="H58" s="730"/>
      <c r="I58" s="730"/>
      <c r="J58" s="730"/>
      <c r="K58" s="730"/>
      <c r="L58" s="730"/>
      <c r="M58" s="730"/>
      <c r="N58" s="730"/>
      <c r="O58" s="730"/>
      <c r="P58" s="730"/>
      <c r="Q58" s="730"/>
      <c r="R58" s="730"/>
      <c r="S58" s="730"/>
      <c r="T58" s="730"/>
      <c r="U58" s="854"/>
      <c r="V58" s="730"/>
    </row>
    <row r="59" spans="1:22" x14ac:dyDescent="0.35">
      <c r="A59" s="730"/>
      <c r="B59" s="730"/>
      <c r="C59" s="730"/>
      <c r="D59" s="730"/>
      <c r="E59" s="730"/>
      <c r="F59" s="730"/>
      <c r="G59" s="730"/>
      <c r="H59" s="730"/>
      <c r="I59" s="730"/>
      <c r="J59" s="730"/>
      <c r="K59" s="730"/>
      <c r="L59" s="730"/>
      <c r="M59" s="730"/>
      <c r="N59" s="730"/>
      <c r="O59" s="730"/>
      <c r="P59" s="730"/>
      <c r="Q59" s="730"/>
      <c r="R59" s="730"/>
      <c r="S59" s="730"/>
      <c r="T59" s="730"/>
      <c r="U59" s="854"/>
      <c r="V59" s="730"/>
    </row>
    <row r="60" spans="1:22" x14ac:dyDescent="0.35">
      <c r="A60" s="730"/>
      <c r="B60" s="730"/>
      <c r="C60" s="730"/>
      <c r="D60" s="730"/>
      <c r="E60" s="730"/>
      <c r="F60" s="730"/>
      <c r="G60" s="730"/>
      <c r="H60" s="730"/>
      <c r="I60" s="730"/>
      <c r="J60" s="730"/>
      <c r="K60" s="730"/>
      <c r="L60" s="730"/>
      <c r="M60" s="730"/>
      <c r="N60" s="730"/>
      <c r="O60" s="730"/>
      <c r="P60" s="730"/>
      <c r="Q60" s="730"/>
      <c r="R60" s="730"/>
      <c r="S60" s="730"/>
      <c r="T60" s="730"/>
      <c r="U60" s="854"/>
      <c r="V60" s="730"/>
    </row>
    <row r="61" spans="1:22" x14ac:dyDescent="0.35">
      <c r="A61" s="730"/>
      <c r="B61" s="730"/>
      <c r="C61" s="730"/>
      <c r="D61" s="730"/>
      <c r="E61" s="730"/>
      <c r="F61" s="730"/>
      <c r="G61" s="730"/>
      <c r="H61" s="730"/>
      <c r="I61" s="730"/>
      <c r="J61" s="730"/>
      <c r="K61" s="730"/>
      <c r="L61" s="730"/>
      <c r="M61" s="730"/>
      <c r="N61" s="730"/>
      <c r="O61" s="730"/>
      <c r="P61" s="730"/>
      <c r="Q61" s="730"/>
      <c r="R61" s="730"/>
      <c r="S61" s="730"/>
      <c r="T61" s="730"/>
      <c r="U61" s="854"/>
      <c r="V61" s="730"/>
    </row>
    <row r="62" spans="1:22" x14ac:dyDescent="0.35">
      <c r="A62" s="730"/>
      <c r="B62" s="730"/>
      <c r="C62" s="730"/>
      <c r="D62" s="730"/>
      <c r="E62" s="730"/>
      <c r="F62" s="730"/>
      <c r="G62" s="730"/>
      <c r="H62" s="730"/>
      <c r="I62" s="730"/>
      <c r="J62" s="730"/>
      <c r="K62" s="730"/>
      <c r="L62" s="730"/>
      <c r="M62" s="730"/>
      <c r="N62" s="730"/>
      <c r="O62" s="730"/>
      <c r="P62" s="730"/>
      <c r="Q62" s="730"/>
      <c r="R62" s="730"/>
      <c r="S62" s="730"/>
      <c r="T62" s="730"/>
      <c r="U62" s="854"/>
      <c r="V62" s="730"/>
    </row>
    <row r="63" spans="1:22" x14ac:dyDescent="0.35">
      <c r="A63" s="730"/>
      <c r="B63" s="730"/>
      <c r="C63" s="730"/>
      <c r="D63" s="730"/>
      <c r="E63" s="730"/>
      <c r="F63" s="730"/>
      <c r="G63" s="730"/>
      <c r="H63" s="730"/>
      <c r="I63" s="730"/>
      <c r="J63" s="730"/>
      <c r="K63" s="730"/>
      <c r="L63" s="730"/>
      <c r="M63" s="730"/>
      <c r="N63" s="730"/>
      <c r="O63" s="730"/>
      <c r="P63" s="730"/>
      <c r="Q63" s="730"/>
      <c r="R63" s="730"/>
      <c r="S63" s="730"/>
      <c r="T63" s="730"/>
      <c r="U63" s="854"/>
      <c r="V63" s="730"/>
    </row>
    <row r="64" spans="1:22" x14ac:dyDescent="0.35">
      <c r="A64" s="730"/>
      <c r="B64" s="730"/>
      <c r="C64" s="730"/>
      <c r="D64" s="730"/>
      <c r="E64" s="730"/>
      <c r="F64" s="730"/>
      <c r="G64" s="730"/>
      <c r="H64" s="730"/>
      <c r="I64" s="730"/>
      <c r="J64" s="730"/>
      <c r="K64" s="730"/>
      <c r="L64" s="730"/>
      <c r="M64" s="730"/>
      <c r="N64" s="730"/>
      <c r="O64" s="730"/>
      <c r="P64" s="730"/>
      <c r="Q64" s="730"/>
      <c r="R64" s="730"/>
      <c r="S64" s="730"/>
      <c r="T64" s="730"/>
      <c r="U64" s="854"/>
      <c r="V64" s="730"/>
    </row>
    <row r="65" spans="1:22" x14ac:dyDescent="0.35">
      <c r="A65" s="730"/>
      <c r="B65" s="730"/>
      <c r="C65" s="730"/>
      <c r="D65" s="730"/>
      <c r="E65" s="730"/>
      <c r="F65" s="730"/>
      <c r="G65" s="730"/>
      <c r="H65" s="730"/>
      <c r="I65" s="730"/>
      <c r="J65" s="730"/>
      <c r="K65" s="730"/>
      <c r="L65" s="730"/>
      <c r="M65" s="730"/>
      <c r="N65" s="730"/>
      <c r="O65" s="730"/>
      <c r="P65" s="730"/>
      <c r="Q65" s="730"/>
      <c r="R65" s="730"/>
      <c r="S65" s="730"/>
      <c r="T65" s="730"/>
      <c r="U65" s="854"/>
      <c r="V65" s="730"/>
    </row>
    <row r="66" spans="1:22" x14ac:dyDescent="0.35">
      <c r="A66" s="730"/>
      <c r="B66" s="730"/>
      <c r="C66" s="730"/>
      <c r="D66" s="730"/>
      <c r="E66" s="730"/>
      <c r="F66" s="730"/>
      <c r="G66" s="730"/>
      <c r="H66" s="730"/>
      <c r="I66" s="730"/>
      <c r="J66" s="730"/>
      <c r="K66" s="730"/>
      <c r="L66" s="730"/>
      <c r="M66" s="730"/>
      <c r="N66" s="730"/>
      <c r="O66" s="730"/>
      <c r="P66" s="730"/>
      <c r="Q66" s="730"/>
      <c r="R66" s="730"/>
      <c r="S66" s="730"/>
      <c r="T66" s="730"/>
      <c r="U66" s="854"/>
      <c r="V66" s="730"/>
    </row>
    <row r="67" spans="1:22" x14ac:dyDescent="0.35">
      <c r="A67" s="730"/>
      <c r="B67" s="730"/>
      <c r="C67" s="730"/>
      <c r="D67" s="730"/>
      <c r="E67" s="730"/>
      <c r="F67" s="730"/>
      <c r="G67" s="730"/>
      <c r="H67" s="730"/>
      <c r="I67" s="730"/>
      <c r="J67" s="730"/>
      <c r="K67" s="730"/>
      <c r="L67" s="730"/>
      <c r="M67" s="730"/>
      <c r="N67" s="730"/>
      <c r="O67" s="730"/>
      <c r="P67" s="730"/>
      <c r="Q67" s="730"/>
      <c r="R67" s="730"/>
      <c r="S67" s="730"/>
      <c r="T67" s="730"/>
      <c r="U67" s="854"/>
      <c r="V67" s="730"/>
    </row>
    <row r="68" spans="1:22" x14ac:dyDescent="0.35">
      <c r="A68" s="730"/>
      <c r="B68" s="730"/>
      <c r="C68" s="730"/>
      <c r="D68" s="730"/>
      <c r="E68" s="730"/>
      <c r="F68" s="730"/>
      <c r="G68" s="730"/>
      <c r="H68" s="730"/>
      <c r="I68" s="730"/>
      <c r="J68" s="730"/>
      <c r="K68" s="730"/>
      <c r="L68" s="730"/>
      <c r="M68" s="730"/>
      <c r="N68" s="730"/>
      <c r="O68" s="730"/>
      <c r="P68" s="730"/>
      <c r="Q68" s="730"/>
      <c r="R68" s="730"/>
      <c r="S68" s="730"/>
      <c r="T68" s="730"/>
      <c r="U68" s="854"/>
      <c r="V68" s="730"/>
    </row>
    <row r="69" spans="1:22" x14ac:dyDescent="0.35">
      <c r="A69" s="730"/>
      <c r="B69" s="730"/>
      <c r="C69" s="730"/>
      <c r="D69" s="730"/>
      <c r="E69" s="730"/>
      <c r="F69" s="730"/>
      <c r="G69" s="730"/>
      <c r="H69" s="730"/>
      <c r="I69" s="730"/>
      <c r="J69" s="730"/>
      <c r="K69" s="730"/>
      <c r="L69" s="730"/>
      <c r="M69" s="730"/>
      <c r="N69" s="730"/>
      <c r="O69" s="730"/>
      <c r="P69" s="730"/>
      <c r="Q69" s="730"/>
      <c r="R69" s="730"/>
      <c r="S69" s="730"/>
      <c r="T69" s="730"/>
      <c r="U69" s="854"/>
      <c r="V69" s="730"/>
    </row>
    <row r="70" spans="1:22" x14ac:dyDescent="0.35">
      <c r="A70" s="730"/>
      <c r="B70" s="730"/>
      <c r="C70" s="730"/>
      <c r="D70" s="730"/>
      <c r="E70" s="730"/>
      <c r="F70" s="730"/>
      <c r="G70" s="730"/>
      <c r="H70" s="730"/>
      <c r="I70" s="730"/>
      <c r="J70" s="730"/>
      <c r="K70" s="730"/>
      <c r="L70" s="730"/>
      <c r="M70" s="730"/>
      <c r="N70" s="730"/>
      <c r="O70" s="730"/>
      <c r="P70" s="730"/>
      <c r="Q70" s="730"/>
      <c r="R70" s="730"/>
      <c r="S70" s="730"/>
      <c r="T70" s="730"/>
      <c r="U70" s="854"/>
      <c r="V70" s="730"/>
    </row>
    <row r="71" spans="1:22" x14ac:dyDescent="0.35">
      <c r="A71" s="730"/>
      <c r="B71" s="730"/>
      <c r="C71" s="730"/>
      <c r="D71" s="730"/>
      <c r="E71" s="730"/>
      <c r="F71" s="730"/>
      <c r="G71" s="730"/>
      <c r="H71" s="730"/>
      <c r="I71" s="730"/>
      <c r="J71" s="730"/>
      <c r="K71" s="730"/>
      <c r="L71" s="730"/>
      <c r="M71" s="730"/>
      <c r="N71" s="730"/>
      <c r="O71" s="730"/>
      <c r="P71" s="730"/>
      <c r="Q71" s="730"/>
      <c r="R71" s="730"/>
      <c r="S71" s="730"/>
      <c r="T71" s="730"/>
      <c r="U71" s="854"/>
      <c r="V71" s="730"/>
    </row>
    <row r="72" spans="1:22" x14ac:dyDescent="0.35">
      <c r="A72" s="730"/>
      <c r="B72" s="730"/>
      <c r="C72" s="730"/>
      <c r="D72" s="730"/>
      <c r="E72" s="730"/>
      <c r="F72" s="730"/>
      <c r="G72" s="730"/>
      <c r="H72" s="730"/>
      <c r="I72" s="730"/>
      <c r="J72" s="730"/>
      <c r="K72" s="730"/>
      <c r="L72" s="730"/>
      <c r="M72" s="730"/>
      <c r="N72" s="730"/>
      <c r="O72" s="730"/>
      <c r="P72" s="730"/>
      <c r="Q72" s="730"/>
      <c r="R72" s="730"/>
      <c r="S72" s="730"/>
      <c r="T72" s="730"/>
      <c r="U72" s="854"/>
      <c r="V72" s="730"/>
    </row>
    <row r="73" spans="1:22" x14ac:dyDescent="0.35">
      <c r="A73" s="730"/>
      <c r="B73" s="730"/>
      <c r="C73" s="730"/>
      <c r="D73" s="730"/>
      <c r="E73" s="730"/>
      <c r="F73" s="730"/>
      <c r="G73" s="730"/>
      <c r="H73" s="730"/>
      <c r="I73" s="730"/>
      <c r="J73" s="730"/>
      <c r="K73" s="730"/>
      <c r="L73" s="730"/>
      <c r="M73" s="730"/>
      <c r="N73" s="730"/>
      <c r="O73" s="730"/>
      <c r="P73" s="730"/>
      <c r="Q73" s="730"/>
      <c r="R73" s="730"/>
      <c r="S73" s="730"/>
      <c r="T73" s="730"/>
      <c r="U73" s="854"/>
      <c r="V73" s="730"/>
    </row>
    <row r="74" spans="1:22" x14ac:dyDescent="0.35">
      <c r="A74" s="730"/>
      <c r="B74" s="730"/>
      <c r="C74" s="730"/>
      <c r="D74" s="730"/>
      <c r="E74" s="730"/>
      <c r="F74" s="730"/>
      <c r="G74" s="730"/>
      <c r="H74" s="730"/>
      <c r="I74" s="730"/>
      <c r="J74" s="730"/>
      <c r="K74" s="730"/>
      <c r="L74" s="730"/>
      <c r="M74" s="730"/>
      <c r="N74" s="730"/>
      <c r="O74" s="730"/>
      <c r="P74" s="730"/>
      <c r="Q74" s="730"/>
      <c r="R74" s="730"/>
      <c r="S74" s="730"/>
      <c r="T74" s="730"/>
      <c r="U74" s="854"/>
      <c r="V74" s="730"/>
    </row>
    <row r="75" spans="1:22" x14ac:dyDescent="0.35">
      <c r="A75" s="730"/>
      <c r="B75" s="730"/>
      <c r="C75" s="730"/>
      <c r="D75" s="730"/>
      <c r="E75" s="730"/>
      <c r="F75" s="730"/>
      <c r="G75" s="730"/>
      <c r="H75" s="730"/>
      <c r="I75" s="730"/>
      <c r="J75" s="730"/>
      <c r="K75" s="730"/>
      <c r="L75" s="730"/>
      <c r="M75" s="730"/>
      <c r="N75" s="730"/>
      <c r="O75" s="730"/>
      <c r="P75" s="730"/>
      <c r="Q75" s="730"/>
      <c r="R75" s="730"/>
      <c r="S75" s="730"/>
      <c r="T75" s="730"/>
      <c r="U75" s="854"/>
      <c r="V75" s="730"/>
    </row>
    <row r="76" spans="1:22" x14ac:dyDescent="0.35">
      <c r="A76" s="730"/>
      <c r="B76" s="730"/>
      <c r="C76" s="730"/>
      <c r="D76" s="730"/>
      <c r="E76" s="730"/>
      <c r="F76" s="730"/>
      <c r="G76" s="730"/>
      <c r="H76" s="730"/>
      <c r="I76" s="730"/>
      <c r="J76" s="730"/>
      <c r="K76" s="730"/>
      <c r="L76" s="730"/>
      <c r="M76" s="730"/>
      <c r="N76" s="730"/>
      <c r="O76" s="730"/>
      <c r="P76" s="730"/>
      <c r="Q76" s="730"/>
      <c r="R76" s="730"/>
      <c r="S76" s="730"/>
      <c r="T76" s="730"/>
      <c r="U76" s="854"/>
      <c r="V76" s="730"/>
    </row>
    <row r="77" spans="1:22" x14ac:dyDescent="0.35">
      <c r="A77" s="730"/>
      <c r="B77" s="730"/>
      <c r="C77" s="730"/>
      <c r="D77" s="730"/>
      <c r="E77" s="730"/>
      <c r="F77" s="730"/>
      <c r="G77" s="730"/>
      <c r="H77" s="730"/>
      <c r="I77" s="730"/>
      <c r="J77" s="730"/>
      <c r="K77" s="730"/>
      <c r="L77" s="730"/>
      <c r="M77" s="730"/>
      <c r="N77" s="730"/>
      <c r="O77" s="730"/>
      <c r="P77" s="730"/>
      <c r="Q77" s="730"/>
      <c r="R77" s="730"/>
      <c r="S77" s="730"/>
      <c r="T77" s="730"/>
      <c r="U77" s="854"/>
      <c r="V77" s="730"/>
    </row>
    <row r="78" spans="1:22" x14ac:dyDescent="0.35">
      <c r="A78" s="730"/>
      <c r="B78" s="730"/>
      <c r="C78" s="730"/>
      <c r="D78" s="730"/>
      <c r="E78" s="730"/>
      <c r="F78" s="730"/>
      <c r="G78" s="730"/>
      <c r="H78" s="730"/>
      <c r="I78" s="730"/>
      <c r="J78" s="730"/>
      <c r="K78" s="730"/>
      <c r="L78" s="730"/>
      <c r="M78" s="730"/>
      <c r="N78" s="730"/>
      <c r="O78" s="730"/>
      <c r="P78" s="730"/>
      <c r="Q78" s="730"/>
      <c r="R78" s="730"/>
      <c r="S78" s="730"/>
      <c r="T78" s="730"/>
      <c r="U78" s="854"/>
      <c r="V78" s="730"/>
    </row>
    <row r="79" spans="1:22" x14ac:dyDescent="0.35">
      <c r="A79" s="730"/>
      <c r="B79" s="730"/>
      <c r="C79" s="730"/>
      <c r="D79" s="730"/>
      <c r="E79" s="730"/>
      <c r="F79" s="730"/>
      <c r="G79" s="730"/>
      <c r="H79" s="730"/>
      <c r="I79" s="730"/>
      <c r="J79" s="730"/>
      <c r="K79" s="730"/>
      <c r="L79" s="730"/>
      <c r="M79" s="730"/>
      <c r="N79" s="730"/>
      <c r="O79" s="730"/>
      <c r="P79" s="730"/>
      <c r="Q79" s="730"/>
      <c r="R79" s="730"/>
      <c r="S79" s="730"/>
      <c r="T79" s="730"/>
      <c r="U79" s="854"/>
      <c r="V79" s="730"/>
    </row>
    <row r="80" spans="1:22" x14ac:dyDescent="0.35">
      <c r="A80" s="730"/>
      <c r="B80" s="730"/>
      <c r="C80" s="730"/>
      <c r="D80" s="730"/>
      <c r="E80" s="730"/>
      <c r="F80" s="730"/>
      <c r="G80" s="730"/>
      <c r="H80" s="730"/>
      <c r="I80" s="730"/>
      <c r="J80" s="730"/>
      <c r="K80" s="730"/>
      <c r="L80" s="730"/>
      <c r="M80" s="730"/>
      <c r="N80" s="730"/>
      <c r="O80" s="730"/>
      <c r="P80" s="730"/>
      <c r="Q80" s="730"/>
      <c r="R80" s="730"/>
      <c r="S80" s="730"/>
      <c r="T80" s="730"/>
      <c r="U80" s="854"/>
      <c r="V80" s="730"/>
    </row>
    <row r="81" spans="1:22" x14ac:dyDescent="0.35">
      <c r="A81" s="730"/>
      <c r="B81" s="730"/>
      <c r="C81" s="730"/>
      <c r="D81" s="730"/>
      <c r="E81" s="730"/>
      <c r="F81" s="730"/>
      <c r="G81" s="730"/>
      <c r="H81" s="730"/>
      <c r="I81" s="730"/>
      <c r="J81" s="730"/>
      <c r="K81" s="730"/>
      <c r="L81" s="730"/>
      <c r="M81" s="730"/>
      <c r="N81" s="730"/>
      <c r="O81" s="730"/>
      <c r="P81" s="730"/>
      <c r="Q81" s="730"/>
      <c r="R81" s="730"/>
      <c r="S81" s="730"/>
      <c r="T81" s="730"/>
      <c r="U81" s="854"/>
      <c r="V81" s="730"/>
    </row>
    <row r="82" spans="1:22" x14ac:dyDescent="0.35">
      <c r="A82" s="730"/>
      <c r="B82" s="730"/>
      <c r="C82" s="730"/>
      <c r="D82" s="730"/>
      <c r="E82" s="730"/>
      <c r="F82" s="730"/>
      <c r="G82" s="730"/>
      <c r="H82" s="730"/>
      <c r="I82" s="730"/>
      <c r="J82" s="730"/>
      <c r="K82" s="730"/>
      <c r="L82" s="730"/>
      <c r="M82" s="730"/>
      <c r="N82" s="730"/>
      <c r="O82" s="730"/>
      <c r="P82" s="730"/>
      <c r="Q82" s="730"/>
      <c r="R82" s="730"/>
      <c r="S82" s="730"/>
      <c r="T82" s="730"/>
      <c r="U82" s="854"/>
      <c r="V82" s="730"/>
    </row>
    <row r="83" spans="1:22" x14ac:dyDescent="0.35">
      <c r="A83" s="730"/>
      <c r="B83" s="730"/>
      <c r="C83" s="730"/>
      <c r="D83" s="730"/>
      <c r="E83" s="730"/>
      <c r="F83" s="730"/>
      <c r="G83" s="730"/>
      <c r="H83" s="730"/>
      <c r="I83" s="730"/>
      <c r="J83" s="730"/>
      <c r="K83" s="730"/>
      <c r="L83" s="730"/>
      <c r="M83" s="730"/>
      <c r="N83" s="730"/>
      <c r="O83" s="730"/>
      <c r="P83" s="730"/>
      <c r="Q83" s="730"/>
      <c r="R83" s="730"/>
      <c r="S83" s="730"/>
      <c r="T83" s="730"/>
      <c r="U83" s="854"/>
      <c r="V83" s="730"/>
    </row>
    <row r="84" spans="1:22" x14ac:dyDescent="0.35">
      <c r="A84" s="730"/>
      <c r="B84" s="730"/>
      <c r="C84" s="730"/>
      <c r="D84" s="730"/>
      <c r="E84" s="730"/>
      <c r="F84" s="730"/>
      <c r="G84" s="730"/>
      <c r="H84" s="730"/>
      <c r="I84" s="730"/>
      <c r="J84" s="730"/>
      <c r="K84" s="730"/>
      <c r="L84" s="730"/>
      <c r="M84" s="730"/>
      <c r="N84" s="730"/>
      <c r="O84" s="730"/>
      <c r="P84" s="730"/>
      <c r="Q84" s="730"/>
      <c r="R84" s="730"/>
      <c r="S84" s="730"/>
      <c r="T84" s="730"/>
      <c r="U84" s="854"/>
      <c r="V84" s="730"/>
    </row>
    <row r="85" spans="1:22" x14ac:dyDescent="0.35">
      <c r="A85" s="730"/>
      <c r="B85" s="730"/>
      <c r="C85" s="730"/>
      <c r="D85" s="730"/>
      <c r="E85" s="730"/>
      <c r="F85" s="730"/>
      <c r="G85" s="730"/>
      <c r="H85" s="730"/>
      <c r="I85" s="730"/>
      <c r="J85" s="730"/>
      <c r="K85" s="730"/>
      <c r="L85" s="730"/>
      <c r="M85" s="730"/>
      <c r="N85" s="730"/>
      <c r="O85" s="730"/>
      <c r="P85" s="730"/>
      <c r="Q85" s="730"/>
      <c r="R85" s="730"/>
      <c r="S85" s="730"/>
      <c r="T85" s="730"/>
      <c r="U85" s="854"/>
      <c r="V85" s="730"/>
    </row>
    <row r="86" spans="1:22" x14ac:dyDescent="0.35">
      <c r="A86" s="730"/>
      <c r="B86" s="730"/>
      <c r="C86" s="730"/>
      <c r="D86" s="730"/>
      <c r="E86" s="730"/>
      <c r="F86" s="730"/>
      <c r="G86" s="730"/>
      <c r="H86" s="730"/>
      <c r="I86" s="730"/>
      <c r="J86" s="730"/>
      <c r="K86" s="730"/>
      <c r="L86" s="730"/>
      <c r="M86" s="730"/>
      <c r="N86" s="730"/>
      <c r="O86" s="730"/>
      <c r="P86" s="730"/>
      <c r="Q86" s="730"/>
      <c r="R86" s="730"/>
      <c r="S86" s="730"/>
      <c r="T86" s="730"/>
      <c r="U86" s="854"/>
      <c r="V86" s="730"/>
    </row>
    <row r="87" spans="1:22" x14ac:dyDescent="0.35">
      <c r="A87" s="730"/>
      <c r="B87" s="730"/>
      <c r="C87" s="730"/>
      <c r="D87" s="730"/>
      <c r="E87" s="730"/>
      <c r="F87" s="730"/>
      <c r="G87" s="730"/>
      <c r="H87" s="730"/>
      <c r="I87" s="730"/>
      <c r="J87" s="730"/>
      <c r="K87" s="730"/>
      <c r="L87" s="730"/>
      <c r="M87" s="730"/>
      <c r="N87" s="730"/>
      <c r="O87" s="730"/>
      <c r="P87" s="730"/>
      <c r="Q87" s="730"/>
      <c r="R87" s="730"/>
      <c r="S87" s="730"/>
      <c r="T87" s="730"/>
      <c r="U87" s="854"/>
      <c r="V87" s="730"/>
    </row>
    <row r="88" spans="1:22" x14ac:dyDescent="0.35">
      <c r="A88" s="730"/>
      <c r="B88" s="730"/>
      <c r="C88" s="730"/>
      <c r="D88" s="730"/>
      <c r="E88" s="730"/>
      <c r="F88" s="730"/>
      <c r="G88" s="730"/>
      <c r="H88" s="730"/>
      <c r="I88" s="730"/>
      <c r="J88" s="730"/>
      <c r="K88" s="730"/>
      <c r="L88" s="730"/>
      <c r="M88" s="730"/>
      <c r="N88" s="730"/>
      <c r="O88" s="730"/>
      <c r="P88" s="730"/>
      <c r="Q88" s="730"/>
      <c r="R88" s="730"/>
      <c r="S88" s="730"/>
      <c r="T88" s="730"/>
      <c r="U88" s="854"/>
      <c r="V88" s="730"/>
    </row>
    <row r="89" spans="1:22" x14ac:dyDescent="0.35">
      <c r="A89" s="730"/>
      <c r="B89" s="730"/>
      <c r="C89" s="730"/>
      <c r="D89" s="730"/>
      <c r="E89" s="730"/>
      <c r="F89" s="730"/>
      <c r="G89" s="730"/>
      <c r="H89" s="730"/>
      <c r="I89" s="730"/>
      <c r="J89" s="730"/>
      <c r="K89" s="730"/>
      <c r="L89" s="730"/>
      <c r="M89" s="730"/>
      <c r="N89" s="730"/>
      <c r="O89" s="730"/>
      <c r="P89" s="730"/>
      <c r="Q89" s="730"/>
      <c r="R89" s="730"/>
      <c r="S89" s="730"/>
      <c r="T89" s="730"/>
      <c r="U89" s="854"/>
      <c r="V89" s="730"/>
    </row>
    <row r="90" spans="1:22" x14ac:dyDescent="0.35">
      <c r="A90" s="730"/>
      <c r="B90" s="730"/>
      <c r="C90" s="730"/>
      <c r="D90" s="730"/>
      <c r="E90" s="730"/>
      <c r="F90" s="730"/>
      <c r="G90" s="730"/>
      <c r="H90" s="730"/>
      <c r="I90" s="730"/>
      <c r="J90" s="730"/>
      <c r="K90" s="730"/>
      <c r="L90" s="730"/>
      <c r="M90" s="730"/>
      <c r="N90" s="730"/>
      <c r="O90" s="730"/>
      <c r="P90" s="730"/>
      <c r="Q90" s="730"/>
      <c r="R90" s="730"/>
      <c r="S90" s="730"/>
      <c r="T90" s="730"/>
      <c r="U90" s="854"/>
      <c r="V90" s="730"/>
    </row>
    <row r="91" spans="1:22" x14ac:dyDescent="0.35">
      <c r="A91" s="730"/>
      <c r="B91" s="730"/>
      <c r="C91" s="730"/>
      <c r="D91" s="730"/>
      <c r="E91" s="730"/>
      <c r="F91" s="730"/>
      <c r="G91" s="730"/>
      <c r="H91" s="730"/>
      <c r="I91" s="730"/>
      <c r="J91" s="730"/>
      <c r="K91" s="730"/>
      <c r="L91" s="730"/>
      <c r="M91" s="730"/>
      <c r="N91" s="730"/>
      <c r="O91" s="730"/>
      <c r="P91" s="730"/>
      <c r="Q91" s="730"/>
      <c r="R91" s="730"/>
      <c r="S91" s="730"/>
      <c r="T91" s="730"/>
      <c r="U91" s="854"/>
      <c r="V91" s="730"/>
    </row>
    <row r="92" spans="1:22" x14ac:dyDescent="0.35">
      <c r="A92" s="730"/>
      <c r="B92" s="730"/>
      <c r="C92" s="730"/>
      <c r="D92" s="730"/>
      <c r="E92" s="730"/>
      <c r="F92" s="730"/>
      <c r="G92" s="730"/>
      <c r="H92" s="730"/>
      <c r="I92" s="730"/>
      <c r="J92" s="730"/>
      <c r="K92" s="730"/>
      <c r="L92" s="730"/>
      <c r="M92" s="730"/>
      <c r="N92" s="730"/>
      <c r="O92" s="730"/>
      <c r="P92" s="730"/>
      <c r="Q92" s="730"/>
      <c r="R92" s="730"/>
      <c r="S92" s="730"/>
      <c r="T92" s="730"/>
      <c r="U92" s="854"/>
      <c r="V92" s="730"/>
    </row>
    <row r="93" spans="1:22" x14ac:dyDescent="0.35">
      <c r="A93" s="730"/>
      <c r="B93" s="730"/>
      <c r="C93" s="730"/>
      <c r="D93" s="730"/>
      <c r="E93" s="730"/>
      <c r="F93" s="730"/>
      <c r="G93" s="730"/>
      <c r="H93" s="730"/>
      <c r="I93" s="730"/>
      <c r="J93" s="730"/>
      <c r="K93" s="730"/>
      <c r="L93" s="730"/>
      <c r="M93" s="730"/>
      <c r="N93" s="730"/>
      <c r="O93" s="730"/>
      <c r="P93" s="730"/>
      <c r="Q93" s="730"/>
      <c r="R93" s="730"/>
      <c r="S93" s="730"/>
      <c r="T93" s="730"/>
      <c r="U93" s="854"/>
      <c r="V93" s="730"/>
    </row>
    <row r="94" spans="1:22" x14ac:dyDescent="0.35">
      <c r="A94" s="730"/>
      <c r="B94" s="730"/>
      <c r="C94" s="730"/>
      <c r="D94" s="730"/>
      <c r="E94" s="730"/>
      <c r="F94" s="730"/>
      <c r="G94" s="730"/>
      <c r="H94" s="730"/>
      <c r="I94" s="730"/>
      <c r="J94" s="730"/>
      <c r="K94" s="730"/>
      <c r="L94" s="730"/>
      <c r="M94" s="730"/>
      <c r="N94" s="730"/>
      <c r="O94" s="730"/>
      <c r="P94" s="730"/>
      <c r="Q94" s="730"/>
      <c r="R94" s="730"/>
      <c r="S94" s="730"/>
      <c r="T94" s="730"/>
      <c r="U94" s="854"/>
      <c r="V94" s="730"/>
    </row>
    <row r="95" spans="1:22" x14ac:dyDescent="0.35">
      <c r="A95" s="730"/>
      <c r="B95" s="730"/>
      <c r="C95" s="730"/>
      <c r="D95" s="730"/>
      <c r="E95" s="730"/>
      <c r="F95" s="730"/>
      <c r="G95" s="730"/>
      <c r="H95" s="730"/>
      <c r="I95" s="730"/>
      <c r="J95" s="730"/>
      <c r="K95" s="730"/>
      <c r="L95" s="730"/>
      <c r="M95" s="730"/>
      <c r="N95" s="730"/>
      <c r="O95" s="730"/>
      <c r="P95" s="730"/>
      <c r="Q95" s="730"/>
      <c r="R95" s="730"/>
      <c r="S95" s="730"/>
      <c r="T95" s="730"/>
      <c r="U95" s="854"/>
      <c r="V95" s="730"/>
    </row>
    <row r="96" spans="1:22" x14ac:dyDescent="0.35">
      <c r="A96" s="730"/>
      <c r="B96" s="730"/>
      <c r="C96" s="730"/>
      <c r="D96" s="730"/>
      <c r="E96" s="730"/>
      <c r="F96" s="730"/>
      <c r="G96" s="730"/>
      <c r="H96" s="730"/>
      <c r="I96" s="730"/>
      <c r="J96" s="730"/>
      <c r="K96" s="730"/>
      <c r="L96" s="730"/>
      <c r="M96" s="730"/>
      <c r="N96" s="730"/>
      <c r="O96" s="730"/>
      <c r="P96" s="730"/>
      <c r="Q96" s="730"/>
      <c r="R96" s="730"/>
      <c r="S96" s="730"/>
      <c r="T96" s="730"/>
      <c r="U96" s="854"/>
      <c r="V96" s="730"/>
    </row>
    <row r="97" spans="1:22" x14ac:dyDescent="0.35">
      <c r="A97" s="730"/>
      <c r="B97" s="730"/>
      <c r="C97" s="730"/>
      <c r="D97" s="730"/>
      <c r="E97" s="730"/>
      <c r="F97" s="730"/>
      <c r="G97" s="730"/>
      <c r="H97" s="730"/>
      <c r="I97" s="730"/>
      <c r="J97" s="730"/>
      <c r="K97" s="730"/>
      <c r="L97" s="730"/>
      <c r="M97" s="730"/>
      <c r="N97" s="730"/>
      <c r="O97" s="730"/>
      <c r="P97" s="730"/>
      <c r="Q97" s="730"/>
      <c r="R97" s="730"/>
      <c r="S97" s="730"/>
      <c r="T97" s="730"/>
      <c r="U97" s="854"/>
      <c r="V97" s="730"/>
    </row>
    <row r="98" spans="1:22" x14ac:dyDescent="0.35">
      <c r="A98" s="730"/>
      <c r="B98" s="730"/>
      <c r="C98" s="730"/>
      <c r="D98" s="730"/>
      <c r="E98" s="730"/>
      <c r="F98" s="730"/>
      <c r="G98" s="730"/>
      <c r="H98" s="730"/>
      <c r="I98" s="730"/>
      <c r="J98" s="730"/>
      <c r="K98" s="730"/>
      <c r="L98" s="730"/>
      <c r="M98" s="730"/>
      <c r="N98" s="730"/>
      <c r="O98" s="730"/>
      <c r="P98" s="730"/>
      <c r="Q98" s="730"/>
      <c r="R98" s="730"/>
      <c r="S98" s="730"/>
      <c r="T98" s="730"/>
      <c r="U98" s="854"/>
      <c r="V98" s="730"/>
    </row>
    <row r="99" spans="1:22" x14ac:dyDescent="0.35">
      <c r="A99" s="730"/>
      <c r="B99" s="730"/>
      <c r="C99" s="730"/>
      <c r="D99" s="730"/>
      <c r="E99" s="730"/>
      <c r="F99" s="730"/>
      <c r="G99" s="730"/>
      <c r="H99" s="730"/>
      <c r="I99" s="730"/>
      <c r="J99" s="730"/>
      <c r="K99" s="730"/>
      <c r="L99" s="730"/>
      <c r="M99" s="730"/>
      <c r="N99" s="730"/>
      <c r="O99" s="730"/>
      <c r="P99" s="730"/>
      <c r="Q99" s="730"/>
      <c r="R99" s="730"/>
      <c r="S99" s="730"/>
      <c r="T99" s="730"/>
      <c r="U99" s="854"/>
      <c r="V99" s="730"/>
    </row>
    <row r="100" spans="1:22" x14ac:dyDescent="0.35">
      <c r="A100" s="730"/>
      <c r="B100" s="730"/>
      <c r="C100" s="730"/>
      <c r="D100" s="730"/>
      <c r="E100" s="730"/>
      <c r="F100" s="730"/>
      <c r="G100" s="730"/>
      <c r="H100" s="730"/>
      <c r="I100" s="730"/>
      <c r="J100" s="730"/>
      <c r="K100" s="730"/>
      <c r="L100" s="730"/>
      <c r="M100" s="730"/>
      <c r="N100" s="730"/>
      <c r="O100" s="730"/>
      <c r="P100" s="730"/>
      <c r="Q100" s="730"/>
      <c r="R100" s="730"/>
      <c r="S100" s="730"/>
      <c r="T100" s="730"/>
      <c r="U100" s="854"/>
      <c r="V100" s="730"/>
    </row>
    <row r="101" spans="1:22" x14ac:dyDescent="0.35">
      <c r="A101" s="730"/>
      <c r="B101" s="730"/>
      <c r="C101" s="730"/>
      <c r="D101" s="730"/>
      <c r="E101" s="730"/>
      <c r="F101" s="730"/>
      <c r="G101" s="730"/>
      <c r="H101" s="730"/>
      <c r="I101" s="730"/>
      <c r="J101" s="730"/>
      <c r="K101" s="730"/>
      <c r="L101" s="730"/>
      <c r="M101" s="730"/>
      <c r="N101" s="730"/>
      <c r="O101" s="730"/>
      <c r="P101" s="730"/>
      <c r="Q101" s="730"/>
      <c r="R101" s="730"/>
      <c r="S101" s="730"/>
      <c r="T101" s="730"/>
      <c r="U101" s="854"/>
      <c r="V101" s="730"/>
    </row>
    <row r="102" spans="1:22" x14ac:dyDescent="0.35">
      <c r="A102" s="730"/>
      <c r="B102" s="730"/>
      <c r="C102" s="730"/>
      <c r="D102" s="730"/>
      <c r="E102" s="730"/>
      <c r="F102" s="730"/>
      <c r="G102" s="730"/>
      <c r="H102" s="730"/>
      <c r="I102" s="730"/>
      <c r="J102" s="730"/>
      <c r="K102" s="730"/>
      <c r="L102" s="730"/>
      <c r="M102" s="730"/>
      <c r="N102" s="730"/>
      <c r="O102" s="730"/>
      <c r="P102" s="730"/>
      <c r="Q102" s="730"/>
      <c r="R102" s="730"/>
      <c r="S102" s="730"/>
      <c r="T102" s="730"/>
      <c r="U102" s="854"/>
      <c r="V102" s="730"/>
    </row>
    <row r="103" spans="1:22" x14ac:dyDescent="0.35">
      <c r="A103" s="730"/>
      <c r="B103" s="730"/>
      <c r="C103" s="730"/>
      <c r="D103" s="730"/>
      <c r="E103" s="730"/>
      <c r="F103" s="730"/>
      <c r="G103" s="730"/>
      <c r="H103" s="730"/>
      <c r="I103" s="730"/>
      <c r="J103" s="730"/>
      <c r="K103" s="730"/>
      <c r="L103" s="730"/>
      <c r="M103" s="730"/>
      <c r="N103" s="730"/>
      <c r="O103" s="730"/>
      <c r="P103" s="730"/>
      <c r="Q103" s="730"/>
      <c r="R103" s="730"/>
      <c r="S103" s="730"/>
      <c r="T103" s="730"/>
      <c r="U103" s="854"/>
      <c r="V103" s="730"/>
    </row>
    <row r="104" spans="1:22" x14ac:dyDescent="0.35">
      <c r="A104" s="730"/>
      <c r="B104" s="730"/>
      <c r="C104" s="730"/>
      <c r="D104" s="730"/>
      <c r="E104" s="730"/>
      <c r="F104" s="730"/>
      <c r="G104" s="730"/>
      <c r="H104" s="730"/>
      <c r="I104" s="730"/>
      <c r="J104" s="730"/>
      <c r="K104" s="730"/>
      <c r="L104" s="730"/>
      <c r="M104" s="730"/>
      <c r="N104" s="730"/>
      <c r="O104" s="730"/>
      <c r="P104" s="730"/>
      <c r="Q104" s="730"/>
      <c r="R104" s="730"/>
      <c r="S104" s="730"/>
      <c r="T104" s="730"/>
      <c r="U104" s="854"/>
      <c r="V104" s="730"/>
    </row>
    <row r="105" spans="1:22" x14ac:dyDescent="0.35">
      <c r="A105" s="730"/>
      <c r="B105" s="730"/>
      <c r="C105" s="730"/>
      <c r="D105" s="730"/>
      <c r="E105" s="730"/>
      <c r="F105" s="730"/>
      <c r="G105" s="730"/>
      <c r="H105" s="730"/>
      <c r="I105" s="730"/>
      <c r="J105" s="730"/>
      <c r="K105" s="730"/>
      <c r="L105" s="730"/>
      <c r="M105" s="730"/>
      <c r="N105" s="730"/>
      <c r="O105" s="730"/>
      <c r="P105" s="730"/>
      <c r="Q105" s="730"/>
      <c r="R105" s="730"/>
      <c r="S105" s="730"/>
      <c r="T105" s="730"/>
      <c r="U105" s="854"/>
      <c r="V105" s="730"/>
    </row>
    <row r="106" spans="1:22" x14ac:dyDescent="0.35">
      <c r="A106" s="730"/>
      <c r="B106" s="730"/>
      <c r="C106" s="730"/>
      <c r="D106" s="730"/>
      <c r="E106" s="730"/>
      <c r="F106" s="730"/>
      <c r="G106" s="730"/>
      <c r="H106" s="730"/>
      <c r="I106" s="730"/>
      <c r="J106" s="730"/>
      <c r="K106" s="730"/>
      <c r="L106" s="730"/>
      <c r="M106" s="730"/>
      <c r="N106" s="730"/>
      <c r="O106" s="730"/>
      <c r="P106" s="730"/>
      <c r="Q106" s="730"/>
      <c r="R106" s="730"/>
      <c r="S106" s="730"/>
      <c r="T106" s="730"/>
      <c r="U106" s="854"/>
      <c r="V106" s="730"/>
    </row>
    <row r="107" spans="1:22" x14ac:dyDescent="0.35">
      <c r="A107" s="730"/>
      <c r="B107" s="730"/>
      <c r="C107" s="730"/>
      <c r="D107" s="730"/>
      <c r="E107" s="730"/>
      <c r="F107" s="730"/>
      <c r="G107" s="730"/>
      <c r="H107" s="730"/>
      <c r="I107" s="730"/>
      <c r="J107" s="730"/>
      <c r="K107" s="730"/>
      <c r="L107" s="730"/>
      <c r="M107" s="730"/>
      <c r="N107" s="730"/>
      <c r="O107" s="730"/>
      <c r="P107" s="730"/>
      <c r="Q107" s="730"/>
      <c r="R107" s="730"/>
      <c r="S107" s="730"/>
      <c r="T107" s="730"/>
      <c r="U107" s="854"/>
      <c r="V107" s="730"/>
    </row>
    <row r="108" spans="1:22" x14ac:dyDescent="0.35">
      <c r="A108" s="730"/>
      <c r="B108" s="730"/>
      <c r="C108" s="730"/>
      <c r="D108" s="730"/>
      <c r="E108" s="730"/>
      <c r="F108" s="730"/>
      <c r="G108" s="730"/>
      <c r="H108" s="730"/>
      <c r="I108" s="730"/>
      <c r="J108" s="730"/>
      <c r="K108" s="730"/>
      <c r="L108" s="730"/>
      <c r="M108" s="730"/>
      <c r="N108" s="730"/>
      <c r="O108" s="730"/>
      <c r="P108" s="730"/>
      <c r="Q108" s="730"/>
      <c r="R108" s="730"/>
      <c r="S108" s="730"/>
      <c r="T108" s="730"/>
      <c r="U108" s="854"/>
      <c r="V108" s="730"/>
    </row>
    <row r="109" spans="1:22" x14ac:dyDescent="0.35">
      <c r="A109" s="730"/>
      <c r="B109" s="730"/>
      <c r="C109" s="730"/>
      <c r="D109" s="730"/>
      <c r="E109" s="730"/>
      <c r="F109" s="730"/>
      <c r="G109" s="730"/>
      <c r="H109" s="730"/>
      <c r="I109" s="730"/>
      <c r="J109" s="730"/>
      <c r="K109" s="730"/>
      <c r="L109" s="730"/>
      <c r="M109" s="730"/>
      <c r="N109" s="730"/>
      <c r="O109" s="730"/>
      <c r="P109" s="730"/>
      <c r="Q109" s="730"/>
      <c r="R109" s="730"/>
      <c r="S109" s="730"/>
      <c r="T109" s="730"/>
      <c r="U109" s="854"/>
      <c r="V109" s="730"/>
    </row>
    <row r="110" spans="1:22" x14ac:dyDescent="0.35">
      <c r="A110" s="730"/>
      <c r="B110" s="730"/>
      <c r="C110" s="730"/>
      <c r="D110" s="730"/>
      <c r="E110" s="730"/>
      <c r="F110" s="730"/>
      <c r="G110" s="730"/>
      <c r="H110" s="730"/>
      <c r="I110" s="730"/>
      <c r="J110" s="730"/>
      <c r="K110" s="730"/>
      <c r="L110" s="730"/>
      <c r="M110" s="730"/>
      <c r="N110" s="730"/>
      <c r="O110" s="730"/>
      <c r="P110" s="730"/>
      <c r="Q110" s="730"/>
      <c r="R110" s="730"/>
      <c r="S110" s="730"/>
      <c r="T110" s="730"/>
      <c r="U110" s="854"/>
      <c r="V110" s="730"/>
    </row>
  </sheetData>
  <mergeCells count="2">
    <mergeCell ref="B3:V3"/>
    <mergeCell ref="D20:K20"/>
  </mergeCells>
  <printOptions horizontalCentered="1" verticalCentered="1"/>
  <pageMargins left="0.39370078740157483" right="0.39370078740157483" top="0.39370078740157483" bottom="0.59055118110236227" header="0.51181102362204722" footer="0.31496062992125984"/>
  <pageSetup paperSize="9" scale="65" orientation="landscape" r:id="rId1"/>
  <headerFooter alignWithMargins="0">
    <oddFooter>&amp;L&amp;8BMW Group
MZ-32, K. Weigand&amp;C&amp;8Seite &amp;P/&amp;N
&amp;D&amp;R&amp;8&amp;F
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04SBM">
    <tabColor theme="6" tint="0.39997558519241921"/>
    <pageSetUpPr fitToPage="1"/>
  </sheetPr>
  <dimension ref="B1:AD36"/>
  <sheetViews>
    <sheetView showGridLines="0" showZeros="0" topLeftCell="H1" zoomScaleNormal="100" workbookViewId="0">
      <selection activeCell="S11" sqref="S11"/>
    </sheetView>
  </sheetViews>
  <sheetFormatPr baseColWidth="10" defaultColWidth="11.46484375" defaultRowHeight="13.5" x14ac:dyDescent="0.35"/>
  <cols>
    <col min="1" max="1" width="1.46484375" style="101" customWidth="1"/>
    <col min="2" max="2" width="5.796875" style="101" customWidth="1"/>
    <col min="3" max="3" width="20.46484375" style="101" customWidth="1"/>
    <col min="4" max="4" width="5.796875" style="172" customWidth="1"/>
    <col min="5" max="6" width="22.796875" style="172" customWidth="1"/>
    <col min="7" max="12" width="8.19921875" style="101" customWidth="1"/>
    <col min="13" max="13" width="15.796875" style="101" customWidth="1"/>
    <col min="14" max="14" width="5.796875" style="101" customWidth="1"/>
    <col min="15" max="15" width="13.19921875" style="101" customWidth="1"/>
    <col min="16" max="16" width="5.796875" style="101" customWidth="1"/>
    <col min="17" max="18" width="8.19921875" style="101" customWidth="1"/>
    <col min="19" max="20" width="13.19921875" style="101" customWidth="1"/>
    <col min="21" max="21" width="15.19921875" style="101" bestFit="1" customWidth="1"/>
    <col min="22" max="22" width="1" style="320" customWidth="1"/>
    <col min="23" max="23" width="14" style="101" hidden="1" customWidth="1"/>
    <col min="24" max="24" width="8.46484375" style="101" hidden="1" customWidth="1"/>
    <col min="25" max="25" width="1.46484375" style="346" customWidth="1"/>
    <col min="26" max="26" width="18.1328125" style="101" bestFit="1" customWidth="1"/>
    <col min="27" max="16384" width="11.46484375" style="101"/>
  </cols>
  <sheetData>
    <row r="1" spans="2:30" s="305" customFormat="1" ht="7.5" customHeight="1" thickBot="1" x14ac:dyDescent="0.4">
      <c r="C1" s="305">
        <v>8</v>
      </c>
      <c r="D1" s="305">
        <v>5</v>
      </c>
      <c r="E1" s="305">
        <v>22</v>
      </c>
      <c r="G1" s="305">
        <v>7.5</v>
      </c>
      <c r="H1" s="305">
        <v>7.5</v>
      </c>
      <c r="I1" s="305">
        <v>7.5</v>
      </c>
      <c r="J1" s="305">
        <v>7.5</v>
      </c>
      <c r="L1" s="305">
        <v>7.5</v>
      </c>
      <c r="M1" s="305">
        <v>15</v>
      </c>
      <c r="N1" s="305">
        <v>5</v>
      </c>
      <c r="O1" s="305">
        <v>12.5</v>
      </c>
      <c r="P1" s="305">
        <v>5</v>
      </c>
      <c r="Q1" s="306">
        <v>7.5</v>
      </c>
      <c r="R1" s="306">
        <v>7.5</v>
      </c>
      <c r="S1" s="306">
        <v>12.5</v>
      </c>
      <c r="T1" s="306">
        <v>12.5</v>
      </c>
      <c r="U1" s="305">
        <v>10</v>
      </c>
      <c r="V1" s="320"/>
      <c r="Y1" s="343"/>
    </row>
    <row r="2" spans="2:30" s="69" customFormat="1" ht="26.25" customHeight="1" x14ac:dyDescent="0.6">
      <c r="B2" s="61" t="s">
        <v>1</v>
      </c>
      <c r="C2" s="61"/>
      <c r="D2" s="64"/>
      <c r="E2" s="64"/>
      <c r="F2" s="64"/>
      <c r="G2" s="61" t="s">
        <v>2</v>
      </c>
      <c r="H2" s="64"/>
      <c r="I2" s="70"/>
      <c r="J2" s="62"/>
      <c r="K2" s="62"/>
      <c r="L2" s="62"/>
      <c r="M2" s="62"/>
      <c r="N2" s="62"/>
      <c r="O2" s="62"/>
      <c r="P2" s="63" t="s">
        <v>46</v>
      </c>
      <c r="Q2" s="63"/>
      <c r="R2" s="62"/>
      <c r="S2" s="70"/>
      <c r="T2" s="686" t="s">
        <v>944</v>
      </c>
      <c r="U2" s="77"/>
      <c r="V2" s="75"/>
      <c r="Y2" s="344"/>
    </row>
    <row r="3" spans="2:30" s="69" customFormat="1" ht="17.25" x14ac:dyDescent="0.45">
      <c r="B3" s="78" t="s">
        <v>496</v>
      </c>
      <c r="C3" s="78"/>
      <c r="D3" s="79"/>
      <c r="E3" s="79"/>
      <c r="F3" s="79"/>
      <c r="G3" s="81" t="s">
        <v>958</v>
      </c>
      <c r="H3" s="79"/>
      <c r="I3" s="71"/>
      <c r="J3" s="82"/>
      <c r="K3" s="82"/>
      <c r="L3" s="82"/>
      <c r="M3" s="82"/>
      <c r="N3" s="82"/>
      <c r="O3" s="82"/>
      <c r="P3" s="717" t="s">
        <v>963</v>
      </c>
      <c r="Q3" s="76"/>
      <c r="R3" s="82"/>
      <c r="S3" s="82"/>
      <c r="T3" s="82"/>
      <c r="U3" s="83"/>
      <c r="V3" s="82"/>
      <c r="Y3" s="344"/>
    </row>
    <row r="4" spans="2:30" s="69" customFormat="1" ht="13.9" thickBot="1" x14ac:dyDescent="0.4">
      <c r="B4" s="932" t="str">
        <f>+Zusammenfassung!B4</f>
        <v>QAF Version 8.5_01_01 © BMW AG</v>
      </c>
      <c r="C4" s="961"/>
      <c r="D4" s="961"/>
      <c r="E4" s="353"/>
      <c r="F4" s="353"/>
      <c r="G4" s="946" t="s">
        <v>942</v>
      </c>
      <c r="H4" s="947"/>
      <c r="I4" s="947"/>
      <c r="J4" s="85"/>
      <c r="K4" s="85"/>
      <c r="L4" s="85"/>
      <c r="M4" s="85"/>
      <c r="N4" s="85"/>
      <c r="O4" s="85"/>
      <c r="P4" s="162"/>
      <c r="Q4" s="85"/>
      <c r="R4" s="85"/>
      <c r="S4" s="85"/>
      <c r="T4" s="85"/>
      <c r="U4" s="86"/>
      <c r="V4" s="345"/>
      <c r="Y4" s="344"/>
    </row>
    <row r="5" spans="2:30" s="69" customFormat="1" ht="17.100000000000001" customHeight="1" x14ac:dyDescent="0.35">
      <c r="B5" s="354" t="s">
        <v>53</v>
      </c>
      <c r="C5" s="354"/>
      <c r="D5" s="355"/>
      <c r="E5" s="934" t="str">
        <f>Zusammenfassung!$C5</f>
        <v>K. Weigand</v>
      </c>
      <c r="F5" s="962"/>
      <c r="G5" s="354" t="s">
        <v>280</v>
      </c>
      <c r="H5" s="355"/>
      <c r="I5" s="355"/>
      <c r="J5" s="934" t="str">
        <f>Zusammenfassung!$I5</f>
        <v>ZF Peterlee</v>
      </c>
      <c r="K5" s="935"/>
      <c r="L5" s="935"/>
      <c r="M5" s="935"/>
      <c r="N5" s="935"/>
      <c r="O5" s="163" t="s">
        <v>6</v>
      </c>
      <c r="P5" s="163"/>
      <c r="Q5" s="164"/>
      <c r="R5" s="948" t="str">
        <f>Zusammenfassung!$M5</f>
        <v>KAFAS4 MonoCam</v>
      </c>
      <c r="S5" s="935"/>
      <c r="T5" s="935"/>
      <c r="U5" s="936"/>
      <c r="V5" s="320"/>
      <c r="Y5" s="344"/>
    </row>
    <row r="6" spans="2:30" s="69" customFormat="1" ht="17.100000000000001" customHeight="1" x14ac:dyDescent="0.35">
      <c r="B6" s="165" t="s">
        <v>7</v>
      </c>
      <c r="C6" s="165"/>
      <c r="D6" s="166"/>
      <c r="E6" s="937">
        <f>HYPERLINK(CONCATENATE("mailto:",Zusammenfassung!C6),Zusammenfassung!C6)</f>
        <v>0</v>
      </c>
      <c r="F6" s="955"/>
      <c r="G6" s="356" t="s">
        <v>8</v>
      </c>
      <c r="H6" s="166"/>
      <c r="I6" s="166"/>
      <c r="J6" s="940">
        <f>Zusammenfassung!$I6</f>
        <v>0</v>
      </c>
      <c r="K6" s="941"/>
      <c r="L6" s="941"/>
      <c r="M6" s="941"/>
      <c r="N6" s="941"/>
      <c r="O6" s="166" t="s">
        <v>9</v>
      </c>
      <c r="P6" s="166"/>
      <c r="Q6" s="167"/>
      <c r="R6" s="940">
        <f>Zusammenfassung!$M6</f>
        <v>0</v>
      </c>
      <c r="S6" s="941"/>
      <c r="T6" s="941"/>
      <c r="U6" s="942"/>
      <c r="V6" s="320"/>
      <c r="Y6" s="344"/>
    </row>
    <row r="7" spans="2:30" s="69" customFormat="1" ht="17.100000000000001" customHeight="1" x14ac:dyDescent="0.35">
      <c r="B7" s="165" t="s">
        <v>10</v>
      </c>
      <c r="C7" s="165"/>
      <c r="D7" s="166"/>
      <c r="E7" s="940">
        <f>Zusammenfassung!$C7</f>
        <v>0</v>
      </c>
      <c r="F7" s="955"/>
      <c r="G7" s="356" t="s">
        <v>11</v>
      </c>
      <c r="H7" s="166"/>
      <c r="I7" s="166"/>
      <c r="J7" s="940" t="str">
        <f>Zusammenfassung!$I7</f>
        <v>All</v>
      </c>
      <c r="K7" s="941"/>
      <c r="L7" s="941"/>
      <c r="M7" s="941"/>
      <c r="N7" s="941"/>
      <c r="O7" s="166" t="s">
        <v>12</v>
      </c>
      <c r="P7" s="166"/>
      <c r="Q7" s="167"/>
      <c r="R7" s="940">
        <f>Zusammenfassung!$M7</f>
        <v>0</v>
      </c>
      <c r="S7" s="941"/>
      <c r="T7" s="941"/>
      <c r="U7" s="942"/>
      <c r="V7" s="320"/>
      <c r="Y7" s="344"/>
    </row>
    <row r="8" spans="2:30" s="69" customFormat="1" ht="17.100000000000001" customHeight="1" thickBot="1" x14ac:dyDescent="0.4">
      <c r="B8" s="168" t="s">
        <v>13</v>
      </c>
      <c r="C8" s="168"/>
      <c r="D8" s="169"/>
      <c r="E8" s="943">
        <f>Zusammenfassung!$C8</f>
        <v>43782</v>
      </c>
      <c r="F8" s="956"/>
      <c r="G8" s="170" t="s">
        <v>14</v>
      </c>
      <c r="H8" s="169"/>
      <c r="I8" s="169"/>
      <c r="J8" s="950">
        <f>Zusammenfassung!$I8</f>
        <v>0</v>
      </c>
      <c r="K8" s="944"/>
      <c r="L8" s="944"/>
      <c r="M8" s="944"/>
      <c r="N8" s="944"/>
      <c r="O8" s="169" t="s">
        <v>15</v>
      </c>
      <c r="P8" s="169"/>
      <c r="Q8" s="171"/>
      <c r="R8" s="950" t="str">
        <f>Zusammenfassung!$M8</f>
        <v>Bewertung K. Weigand (Absprung aus PDF-QAF abgeleitet)</v>
      </c>
      <c r="S8" s="944"/>
      <c r="T8" s="944"/>
      <c r="U8" s="945"/>
      <c r="V8" s="320"/>
      <c r="Y8" s="344"/>
    </row>
    <row r="9" spans="2:30" ht="12" customHeight="1" thickBot="1" x14ac:dyDescent="0.4"/>
    <row r="10" spans="2:30" s="172" customFormat="1" ht="15" customHeight="1" thickBot="1" x14ac:dyDescent="0.4">
      <c r="B10" s="173"/>
      <c r="C10" s="109"/>
      <c r="D10" s="109"/>
      <c r="E10" s="109"/>
      <c r="F10" s="109"/>
      <c r="G10" s="109" t="s">
        <v>309</v>
      </c>
      <c r="H10" s="109"/>
      <c r="I10" s="109"/>
      <c r="J10" s="109"/>
      <c r="K10" s="109"/>
      <c r="L10" s="113"/>
      <c r="M10" s="174" t="s">
        <v>40</v>
      </c>
      <c r="N10" s="109"/>
      <c r="O10" s="113"/>
      <c r="P10" s="109"/>
      <c r="Q10" s="109"/>
      <c r="R10" s="109"/>
      <c r="S10" s="174" t="s">
        <v>37</v>
      </c>
      <c r="T10" s="109"/>
      <c r="U10" s="113"/>
      <c r="V10" s="708"/>
      <c r="W10" s="347"/>
      <c r="Y10" s="709"/>
    </row>
    <row r="11" spans="2:30" s="127" customFormat="1" ht="145.5" customHeight="1" thickBot="1" x14ac:dyDescent="0.4">
      <c r="B11" s="283" t="s">
        <v>414</v>
      </c>
      <c r="C11" s="175" t="s">
        <v>393</v>
      </c>
      <c r="D11" s="700" t="s">
        <v>326</v>
      </c>
      <c r="E11" s="116" t="s">
        <v>319</v>
      </c>
      <c r="F11" s="124" t="s">
        <v>408</v>
      </c>
      <c r="G11" s="284" t="s">
        <v>390</v>
      </c>
      <c r="H11" s="114" t="s">
        <v>285</v>
      </c>
      <c r="I11" s="116" t="s">
        <v>286</v>
      </c>
      <c r="J11" s="116" t="s">
        <v>287</v>
      </c>
      <c r="K11" s="116" t="s">
        <v>643</v>
      </c>
      <c r="L11" s="317" t="s">
        <v>282</v>
      </c>
      <c r="M11" s="175" t="s">
        <v>56</v>
      </c>
      <c r="N11" s="318" t="s">
        <v>38</v>
      </c>
      <c r="O11" s="701" t="s">
        <v>952</v>
      </c>
      <c r="P11" s="284" t="s">
        <v>55</v>
      </c>
      <c r="Q11" s="114" t="s">
        <v>39</v>
      </c>
      <c r="R11" s="114" t="s">
        <v>385</v>
      </c>
      <c r="S11" s="124" t="s">
        <v>397</v>
      </c>
      <c r="T11" s="114" t="s">
        <v>964</v>
      </c>
      <c r="U11" s="124" t="s">
        <v>965</v>
      </c>
      <c r="V11" s="708"/>
      <c r="W11" s="284" t="s">
        <v>462</v>
      </c>
      <c r="X11" s="348" t="s">
        <v>463</v>
      </c>
    </row>
    <row r="12" spans="2:30" s="130" customFormat="1" ht="26.1" hidden="1" customHeight="1" x14ac:dyDescent="0.35">
      <c r="B12" s="462"/>
      <c r="C12" s="382"/>
      <c r="D12" s="383"/>
      <c r="E12" s="383"/>
      <c r="F12" s="463"/>
      <c r="G12" s="416"/>
      <c r="H12" s="464"/>
      <c r="I12" s="465"/>
      <c r="J12" s="465"/>
      <c r="K12" s="465"/>
      <c r="L12" s="466"/>
      <c r="M12" s="400"/>
      <c r="N12" s="384"/>
      <c r="O12" s="467"/>
      <c r="P12" s="381"/>
      <c r="Q12" s="386"/>
      <c r="R12" s="399"/>
      <c r="S12" s="456">
        <f>R12*O12*Q12</f>
        <v>0</v>
      </c>
      <c r="T12" s="457">
        <f t="shared" ref="T12:T30" si="0">IF(C12="SBM", S12, 0)</f>
        <v>0</v>
      </c>
      <c r="U12" s="385"/>
      <c r="V12" s="320"/>
      <c r="W12" s="129">
        <f>$C12</f>
        <v>0</v>
      </c>
      <c r="X12" s="351" t="e">
        <f t="shared" ref="X12:X30" si="1">IF(ISERROR(VLOOKUP(E12,(SBM_2),2,0)),VLOOKUP(E12,(Vorrichtung_2),2,0),VLOOKUP(E12,(SBM_2),2,0))</f>
        <v>#N/A</v>
      </c>
      <c r="Y12" s="349"/>
      <c r="Z12" s="350"/>
      <c r="AA12" s="128"/>
      <c r="AC12" s="128"/>
      <c r="AD12" s="128"/>
    </row>
    <row r="13" spans="2:30" s="130" customFormat="1" ht="26.1" customHeight="1" x14ac:dyDescent="0.35">
      <c r="B13" s="468"/>
      <c r="C13" s="434"/>
      <c r="D13" s="469"/>
      <c r="E13" s="469"/>
      <c r="F13" s="470"/>
      <c r="G13" s="387"/>
      <c r="H13" s="471"/>
      <c r="I13" s="471"/>
      <c r="J13" s="472"/>
      <c r="K13" s="472"/>
      <c r="L13" s="473"/>
      <c r="M13" s="404"/>
      <c r="N13" s="391"/>
      <c r="O13" s="474"/>
      <c r="P13" s="447"/>
      <c r="Q13" s="394"/>
      <c r="R13" s="402"/>
      <c r="S13" s="458">
        <f t="shared" ref="S13:S30" si="2">R13*O13*Q13</f>
        <v>0</v>
      </c>
      <c r="T13" s="459">
        <f t="shared" si="0"/>
        <v>0</v>
      </c>
      <c r="U13" s="597"/>
      <c r="V13" s="320"/>
      <c r="W13" s="336">
        <f t="shared" ref="W13:W30" si="3">$C13</f>
        <v>0</v>
      </c>
      <c r="X13" s="351" t="e">
        <f>IF(ISERROR(VLOOKUP(E13,(SBM_2),2,0)),VLOOKUP(E13,(Vorrichtung_2),2,0),VLOOKUP(E13,(SBM_2),2,0))</f>
        <v>#N/A</v>
      </c>
      <c r="Y13" s="352"/>
    </row>
    <row r="14" spans="2:30" s="130" customFormat="1" ht="26.1" customHeight="1" x14ac:dyDescent="0.35">
      <c r="B14" s="468"/>
      <c r="C14" s="434"/>
      <c r="D14" s="469"/>
      <c r="E14" s="469"/>
      <c r="F14" s="470"/>
      <c r="G14" s="387"/>
      <c r="H14" s="471"/>
      <c r="I14" s="471"/>
      <c r="J14" s="472"/>
      <c r="K14" s="472"/>
      <c r="L14" s="473"/>
      <c r="M14" s="404"/>
      <c r="N14" s="391"/>
      <c r="O14" s="474"/>
      <c r="P14" s="447"/>
      <c r="Q14" s="394"/>
      <c r="R14" s="402"/>
      <c r="S14" s="458">
        <f t="shared" si="2"/>
        <v>0</v>
      </c>
      <c r="T14" s="459">
        <f t="shared" si="0"/>
        <v>0</v>
      </c>
      <c r="U14" s="486"/>
      <c r="V14" s="320"/>
      <c r="W14" s="336">
        <f t="shared" si="3"/>
        <v>0</v>
      </c>
      <c r="X14" s="351" t="e">
        <f t="shared" si="1"/>
        <v>#N/A</v>
      </c>
      <c r="Y14" s="352"/>
    </row>
    <row r="15" spans="2:30" s="130" customFormat="1" ht="26.1" customHeight="1" x14ac:dyDescent="0.35">
      <c r="B15" s="468"/>
      <c r="C15" s="434"/>
      <c r="D15" s="469"/>
      <c r="E15" s="469"/>
      <c r="F15" s="470"/>
      <c r="G15" s="387"/>
      <c r="H15" s="471"/>
      <c r="I15" s="471"/>
      <c r="J15" s="472"/>
      <c r="K15" s="472"/>
      <c r="L15" s="473"/>
      <c r="M15" s="404"/>
      <c r="N15" s="391"/>
      <c r="O15" s="474"/>
      <c r="P15" s="391"/>
      <c r="Q15" s="394"/>
      <c r="R15" s="402"/>
      <c r="S15" s="458">
        <f t="shared" si="2"/>
        <v>0</v>
      </c>
      <c r="T15" s="459">
        <f>IF(C15="SBM", S15, 0)</f>
        <v>0</v>
      </c>
      <c r="U15" s="486"/>
      <c r="V15" s="320"/>
      <c r="W15" s="336">
        <f t="shared" si="3"/>
        <v>0</v>
      </c>
      <c r="X15" s="351" t="e">
        <f t="shared" si="1"/>
        <v>#N/A</v>
      </c>
      <c r="Y15" s="352"/>
    </row>
    <row r="16" spans="2:30" s="130" customFormat="1" ht="26.1" customHeight="1" x14ac:dyDescent="0.35">
      <c r="B16" s="468"/>
      <c r="C16" s="434"/>
      <c r="D16" s="469"/>
      <c r="E16" s="469"/>
      <c r="F16" s="470"/>
      <c r="G16" s="387"/>
      <c r="H16" s="471"/>
      <c r="I16" s="471"/>
      <c r="J16" s="472"/>
      <c r="K16" s="472"/>
      <c r="L16" s="473"/>
      <c r="M16" s="404"/>
      <c r="N16" s="391"/>
      <c r="O16" s="474"/>
      <c r="P16" s="391"/>
      <c r="Q16" s="394"/>
      <c r="R16" s="402"/>
      <c r="S16" s="458">
        <f t="shared" si="2"/>
        <v>0</v>
      </c>
      <c r="T16" s="459">
        <f t="shared" si="0"/>
        <v>0</v>
      </c>
      <c r="U16" s="486"/>
      <c r="V16" s="320"/>
      <c r="W16" s="336">
        <f t="shared" si="3"/>
        <v>0</v>
      </c>
      <c r="X16" s="351" t="e">
        <f t="shared" si="1"/>
        <v>#N/A</v>
      </c>
      <c r="Y16" s="352"/>
    </row>
    <row r="17" spans="2:26" s="130" customFormat="1" ht="26.1" customHeight="1" x14ac:dyDescent="0.35">
      <c r="B17" s="468"/>
      <c r="C17" s="434"/>
      <c r="D17" s="469"/>
      <c r="E17" s="469"/>
      <c r="F17" s="470"/>
      <c r="G17" s="387"/>
      <c r="H17" s="471"/>
      <c r="I17" s="472"/>
      <c r="J17" s="472"/>
      <c r="K17" s="472"/>
      <c r="L17" s="473"/>
      <c r="M17" s="404"/>
      <c r="N17" s="391"/>
      <c r="O17" s="474"/>
      <c r="P17" s="393"/>
      <c r="Q17" s="394"/>
      <c r="R17" s="402"/>
      <c r="S17" s="458">
        <f t="shared" si="2"/>
        <v>0</v>
      </c>
      <c r="T17" s="459">
        <f t="shared" si="0"/>
        <v>0</v>
      </c>
      <c r="U17" s="486"/>
      <c r="V17" s="320"/>
      <c r="W17" s="336">
        <f t="shared" si="3"/>
        <v>0</v>
      </c>
      <c r="X17" s="351" t="e">
        <f t="shared" si="1"/>
        <v>#N/A</v>
      </c>
      <c r="Y17" s="352"/>
    </row>
    <row r="18" spans="2:26" s="130" customFormat="1" ht="26.1" customHeight="1" x14ac:dyDescent="0.35">
      <c r="B18" s="468"/>
      <c r="C18" s="434"/>
      <c r="D18" s="469"/>
      <c r="E18" s="469"/>
      <c r="F18" s="470"/>
      <c r="G18" s="387"/>
      <c r="H18" s="471"/>
      <c r="I18" s="472"/>
      <c r="J18" s="472"/>
      <c r="K18" s="472"/>
      <c r="L18" s="473"/>
      <c r="M18" s="404"/>
      <c r="N18" s="391"/>
      <c r="O18" s="474"/>
      <c r="P18" s="393"/>
      <c r="Q18" s="394"/>
      <c r="R18" s="402"/>
      <c r="S18" s="458">
        <f t="shared" si="2"/>
        <v>0</v>
      </c>
      <c r="T18" s="459">
        <f t="shared" si="0"/>
        <v>0</v>
      </c>
      <c r="U18" s="486"/>
      <c r="V18" s="320"/>
      <c r="W18" s="336">
        <f t="shared" si="3"/>
        <v>0</v>
      </c>
      <c r="X18" s="351" t="e">
        <f t="shared" si="1"/>
        <v>#N/A</v>
      </c>
      <c r="Y18" s="352"/>
    </row>
    <row r="19" spans="2:26" s="130" customFormat="1" ht="26.1" customHeight="1" x14ac:dyDescent="0.35">
      <c r="B19" s="468"/>
      <c r="C19" s="434"/>
      <c r="D19" s="469"/>
      <c r="E19" s="469"/>
      <c r="F19" s="470"/>
      <c r="G19" s="387"/>
      <c r="H19" s="471"/>
      <c r="I19" s="472"/>
      <c r="J19" s="472"/>
      <c r="K19" s="472"/>
      <c r="L19" s="473"/>
      <c r="M19" s="404"/>
      <c r="N19" s="391"/>
      <c r="O19" s="475"/>
      <c r="P19" s="447"/>
      <c r="Q19" s="394"/>
      <c r="R19" s="402"/>
      <c r="S19" s="458">
        <f t="shared" si="2"/>
        <v>0</v>
      </c>
      <c r="T19" s="459">
        <f t="shared" si="0"/>
        <v>0</v>
      </c>
      <c r="U19" s="486"/>
      <c r="V19" s="320"/>
      <c r="W19" s="336">
        <f t="shared" si="3"/>
        <v>0</v>
      </c>
      <c r="X19" s="351" t="e">
        <f t="shared" si="1"/>
        <v>#N/A</v>
      </c>
      <c r="Y19" s="352"/>
    </row>
    <row r="20" spans="2:26" s="130" customFormat="1" ht="26.1" customHeight="1" x14ac:dyDescent="0.35">
      <c r="B20" s="468"/>
      <c r="C20" s="434"/>
      <c r="D20" s="469"/>
      <c r="E20" s="469"/>
      <c r="F20" s="470"/>
      <c r="G20" s="387"/>
      <c r="H20" s="471"/>
      <c r="I20" s="472"/>
      <c r="J20" s="472"/>
      <c r="K20" s="472"/>
      <c r="L20" s="473"/>
      <c r="M20" s="404"/>
      <c r="N20" s="391"/>
      <c r="O20" s="475"/>
      <c r="P20" s="447"/>
      <c r="Q20" s="394"/>
      <c r="R20" s="402"/>
      <c r="S20" s="458">
        <f t="shared" si="2"/>
        <v>0</v>
      </c>
      <c r="T20" s="459">
        <f t="shared" si="0"/>
        <v>0</v>
      </c>
      <c r="U20" s="486"/>
      <c r="V20" s="320"/>
      <c r="W20" s="336">
        <f t="shared" si="3"/>
        <v>0</v>
      </c>
      <c r="X20" s="351" t="e">
        <f t="shared" si="1"/>
        <v>#N/A</v>
      </c>
      <c r="Y20" s="352"/>
    </row>
    <row r="21" spans="2:26" s="130" customFormat="1" ht="26.1" customHeight="1" x14ac:dyDescent="0.35">
      <c r="B21" s="468"/>
      <c r="C21" s="434"/>
      <c r="D21" s="469"/>
      <c r="E21" s="469"/>
      <c r="F21" s="470"/>
      <c r="G21" s="387"/>
      <c r="H21" s="471"/>
      <c r="I21" s="472"/>
      <c r="J21" s="472"/>
      <c r="K21" s="472"/>
      <c r="L21" s="473"/>
      <c r="M21" s="404"/>
      <c r="N21" s="391"/>
      <c r="O21" s="475"/>
      <c r="P21" s="447"/>
      <c r="Q21" s="394"/>
      <c r="R21" s="402"/>
      <c r="S21" s="458">
        <f t="shared" si="2"/>
        <v>0</v>
      </c>
      <c r="T21" s="459">
        <f t="shared" si="0"/>
        <v>0</v>
      </c>
      <c r="U21" s="486"/>
      <c r="V21" s="320"/>
      <c r="W21" s="336">
        <f t="shared" si="3"/>
        <v>0</v>
      </c>
      <c r="X21" s="351" t="e">
        <f t="shared" si="1"/>
        <v>#N/A</v>
      </c>
      <c r="Y21" s="352"/>
    </row>
    <row r="22" spans="2:26" s="130" customFormat="1" ht="26.1" customHeight="1" x14ac:dyDescent="0.35">
      <c r="B22" s="468"/>
      <c r="C22" s="434"/>
      <c r="D22" s="469"/>
      <c r="E22" s="469"/>
      <c r="F22" s="470"/>
      <c r="G22" s="387"/>
      <c r="H22" s="471"/>
      <c r="I22" s="472"/>
      <c r="J22" s="472"/>
      <c r="K22" s="472"/>
      <c r="L22" s="473"/>
      <c r="M22" s="404"/>
      <c r="N22" s="391"/>
      <c r="O22" s="475"/>
      <c r="P22" s="447"/>
      <c r="Q22" s="394"/>
      <c r="R22" s="402"/>
      <c r="S22" s="458">
        <f>R22*O22*Q22</f>
        <v>0</v>
      </c>
      <c r="T22" s="459">
        <f>IF(C22="SBM", S22, 0)</f>
        <v>0</v>
      </c>
      <c r="U22" s="486"/>
      <c r="V22" s="320"/>
      <c r="W22" s="336">
        <f t="shared" si="3"/>
        <v>0</v>
      </c>
      <c r="X22" s="351" t="e">
        <f t="shared" si="1"/>
        <v>#N/A</v>
      </c>
      <c r="Y22" s="352"/>
    </row>
    <row r="23" spans="2:26" s="130" customFormat="1" ht="25.5" customHeight="1" x14ac:dyDescent="0.35">
      <c r="B23" s="468"/>
      <c r="C23" s="434"/>
      <c r="D23" s="469"/>
      <c r="E23" s="469"/>
      <c r="F23" s="470"/>
      <c r="G23" s="387"/>
      <c r="H23" s="471"/>
      <c r="I23" s="472"/>
      <c r="J23" s="472"/>
      <c r="K23" s="472"/>
      <c r="L23" s="473"/>
      <c r="M23" s="404"/>
      <c r="N23" s="391"/>
      <c r="O23" s="475"/>
      <c r="P23" s="447"/>
      <c r="Q23" s="394"/>
      <c r="R23" s="402"/>
      <c r="S23" s="458">
        <f>R23*O23*Q23</f>
        <v>0</v>
      </c>
      <c r="T23" s="459">
        <f>IF(C23="SBM", S23, 0)</f>
        <v>0</v>
      </c>
      <c r="U23" s="486"/>
      <c r="V23" s="320"/>
      <c r="W23" s="336">
        <f t="shared" si="3"/>
        <v>0</v>
      </c>
      <c r="X23" s="351" t="e">
        <f t="shared" si="1"/>
        <v>#N/A</v>
      </c>
      <c r="Y23" s="352"/>
    </row>
    <row r="24" spans="2:26" s="130" customFormat="1" ht="26.1" customHeight="1" x14ac:dyDescent="0.35">
      <c r="B24" s="468"/>
      <c r="C24" s="434"/>
      <c r="D24" s="469"/>
      <c r="E24" s="469"/>
      <c r="F24" s="470"/>
      <c r="G24" s="387"/>
      <c r="H24" s="471"/>
      <c r="I24" s="472"/>
      <c r="J24" s="472"/>
      <c r="K24" s="472"/>
      <c r="L24" s="473"/>
      <c r="M24" s="404"/>
      <c r="N24" s="391"/>
      <c r="O24" s="475"/>
      <c r="P24" s="447"/>
      <c r="Q24" s="394"/>
      <c r="R24" s="402"/>
      <c r="S24" s="458">
        <f>R24*O24*Q24</f>
        <v>0</v>
      </c>
      <c r="T24" s="459">
        <f>IF(C24="SBM", S24, 0)</f>
        <v>0</v>
      </c>
      <c r="U24" s="486"/>
      <c r="V24" s="320"/>
      <c r="W24" s="336">
        <f t="shared" si="3"/>
        <v>0</v>
      </c>
      <c r="X24" s="351" t="e">
        <f t="shared" si="1"/>
        <v>#N/A</v>
      </c>
      <c r="Y24" s="352"/>
    </row>
    <row r="25" spans="2:26" s="130" customFormat="1" ht="26.1" customHeight="1" x14ac:dyDescent="0.35">
      <c r="B25" s="468"/>
      <c r="C25" s="434"/>
      <c r="D25" s="469"/>
      <c r="E25" s="469"/>
      <c r="F25" s="470"/>
      <c r="G25" s="387"/>
      <c r="H25" s="471"/>
      <c r="I25" s="472"/>
      <c r="J25" s="472"/>
      <c r="K25" s="472"/>
      <c r="L25" s="473"/>
      <c r="M25" s="404"/>
      <c r="N25" s="391"/>
      <c r="O25" s="475"/>
      <c r="P25" s="447"/>
      <c r="Q25" s="394"/>
      <c r="R25" s="402"/>
      <c r="S25" s="458">
        <f>R25*O25*Q25</f>
        <v>0</v>
      </c>
      <c r="T25" s="459">
        <f>IF(C25="SBM", S25, 0)</f>
        <v>0</v>
      </c>
      <c r="U25" s="486"/>
      <c r="V25" s="320"/>
      <c r="W25" s="336">
        <f t="shared" si="3"/>
        <v>0</v>
      </c>
      <c r="X25" s="351" t="e">
        <f t="shared" si="1"/>
        <v>#N/A</v>
      </c>
      <c r="Y25" s="352"/>
    </row>
    <row r="26" spans="2:26" s="130" customFormat="1" ht="26.1" customHeight="1" x14ac:dyDescent="0.35">
      <c r="B26" s="468"/>
      <c r="C26" s="434"/>
      <c r="D26" s="469"/>
      <c r="E26" s="469"/>
      <c r="F26" s="470"/>
      <c r="G26" s="387"/>
      <c r="H26" s="471"/>
      <c r="I26" s="472"/>
      <c r="J26" s="472"/>
      <c r="K26" s="472"/>
      <c r="L26" s="473"/>
      <c r="M26" s="404"/>
      <c r="N26" s="391"/>
      <c r="O26" s="475"/>
      <c r="P26" s="447"/>
      <c r="Q26" s="394"/>
      <c r="R26" s="402"/>
      <c r="S26" s="458">
        <f t="shared" si="2"/>
        <v>0</v>
      </c>
      <c r="T26" s="459">
        <f t="shared" si="0"/>
        <v>0</v>
      </c>
      <c r="U26" s="486"/>
      <c r="V26" s="320"/>
      <c r="W26" s="336">
        <f t="shared" si="3"/>
        <v>0</v>
      </c>
      <c r="X26" s="351" t="e">
        <f t="shared" si="1"/>
        <v>#N/A</v>
      </c>
      <c r="Y26" s="352"/>
    </row>
    <row r="27" spans="2:26" s="130" customFormat="1" ht="25.5" customHeight="1" x14ac:dyDescent="0.35">
      <c r="B27" s="468"/>
      <c r="C27" s="434"/>
      <c r="D27" s="469"/>
      <c r="E27" s="469"/>
      <c r="F27" s="470"/>
      <c r="G27" s="387"/>
      <c r="H27" s="471"/>
      <c r="I27" s="472"/>
      <c r="J27" s="472"/>
      <c r="K27" s="472"/>
      <c r="L27" s="473"/>
      <c r="M27" s="404"/>
      <c r="N27" s="391"/>
      <c r="O27" s="475"/>
      <c r="P27" s="447"/>
      <c r="Q27" s="394"/>
      <c r="R27" s="402"/>
      <c r="S27" s="458">
        <f t="shared" si="2"/>
        <v>0</v>
      </c>
      <c r="T27" s="459">
        <f t="shared" si="0"/>
        <v>0</v>
      </c>
      <c r="U27" s="486"/>
      <c r="V27" s="320"/>
      <c r="W27" s="336">
        <f t="shared" si="3"/>
        <v>0</v>
      </c>
      <c r="X27" s="351" t="e">
        <f t="shared" si="1"/>
        <v>#N/A</v>
      </c>
      <c r="Y27" s="352"/>
    </row>
    <row r="28" spans="2:26" s="130" customFormat="1" ht="26.1" customHeight="1" x14ac:dyDescent="0.35">
      <c r="B28" s="468"/>
      <c r="C28" s="434"/>
      <c r="D28" s="469"/>
      <c r="E28" s="469"/>
      <c r="F28" s="470"/>
      <c r="G28" s="387"/>
      <c r="H28" s="471"/>
      <c r="I28" s="472"/>
      <c r="J28" s="472"/>
      <c r="K28" s="472"/>
      <c r="L28" s="473"/>
      <c r="M28" s="404"/>
      <c r="N28" s="391"/>
      <c r="O28" s="475"/>
      <c r="P28" s="447"/>
      <c r="Q28" s="394"/>
      <c r="R28" s="402"/>
      <c r="S28" s="458">
        <f t="shared" si="2"/>
        <v>0</v>
      </c>
      <c r="T28" s="459">
        <f t="shared" si="0"/>
        <v>0</v>
      </c>
      <c r="U28" s="486"/>
      <c r="V28" s="320"/>
      <c r="W28" s="336">
        <f t="shared" si="3"/>
        <v>0</v>
      </c>
      <c r="X28" s="351" t="e">
        <f t="shared" si="1"/>
        <v>#N/A</v>
      </c>
      <c r="Y28" s="352"/>
    </row>
    <row r="29" spans="2:26" s="130" customFormat="1" ht="26.1" customHeight="1" x14ac:dyDescent="0.35">
      <c r="B29" s="468"/>
      <c r="C29" s="434"/>
      <c r="D29" s="469"/>
      <c r="E29" s="469"/>
      <c r="F29" s="470"/>
      <c r="G29" s="387"/>
      <c r="H29" s="471"/>
      <c r="I29" s="472"/>
      <c r="J29" s="472"/>
      <c r="K29" s="472"/>
      <c r="L29" s="473"/>
      <c r="M29" s="404"/>
      <c r="N29" s="391"/>
      <c r="O29" s="475"/>
      <c r="P29" s="447"/>
      <c r="Q29" s="394"/>
      <c r="R29" s="402"/>
      <c r="S29" s="458">
        <f t="shared" si="2"/>
        <v>0</v>
      </c>
      <c r="T29" s="459">
        <f t="shared" si="0"/>
        <v>0</v>
      </c>
      <c r="U29" s="486"/>
      <c r="V29" s="320"/>
      <c r="W29" s="336">
        <f t="shared" si="3"/>
        <v>0</v>
      </c>
      <c r="X29" s="351" t="e">
        <f t="shared" si="1"/>
        <v>#N/A</v>
      </c>
      <c r="Y29" s="352"/>
    </row>
    <row r="30" spans="2:26" s="130" customFormat="1" ht="26.1" customHeight="1" thickBot="1" x14ac:dyDescent="0.4">
      <c r="B30" s="476"/>
      <c r="C30" s="442"/>
      <c r="D30" s="477"/>
      <c r="E30" s="477"/>
      <c r="F30" s="478"/>
      <c r="G30" s="441"/>
      <c r="H30" s="479"/>
      <c r="I30" s="480"/>
      <c r="J30" s="480"/>
      <c r="K30" s="480"/>
      <c r="L30" s="481"/>
      <c r="M30" s="482"/>
      <c r="N30" s="483"/>
      <c r="O30" s="484"/>
      <c r="P30" s="449"/>
      <c r="Q30" s="450"/>
      <c r="R30" s="485"/>
      <c r="S30" s="460">
        <f t="shared" si="2"/>
        <v>0</v>
      </c>
      <c r="T30" s="461">
        <f t="shared" si="0"/>
        <v>0</v>
      </c>
      <c r="U30" s="487"/>
      <c r="V30" s="320"/>
      <c r="W30" s="337">
        <f t="shared" si="3"/>
        <v>0</v>
      </c>
      <c r="X30" s="351" t="e">
        <f t="shared" si="1"/>
        <v>#N/A</v>
      </c>
      <c r="Y30" s="349"/>
      <c r="Z30" s="128"/>
    </row>
    <row r="31" spans="2:26" s="131" customFormat="1" ht="12" customHeight="1" thickBot="1" x14ac:dyDescent="0.4">
      <c r="B31" s="132"/>
      <c r="D31" s="135"/>
      <c r="E31" s="135"/>
      <c r="F31" s="134"/>
      <c r="G31" s="135"/>
      <c r="H31" s="135"/>
      <c r="I31" s="135"/>
      <c r="J31" s="135"/>
      <c r="K31" s="135"/>
      <c r="L31" s="135"/>
      <c r="M31" s="134"/>
      <c r="N31" s="135"/>
      <c r="O31" s="135"/>
      <c r="P31" s="135"/>
      <c r="Q31" s="135"/>
      <c r="R31" s="137"/>
      <c r="S31" s="136"/>
      <c r="T31" s="134"/>
      <c r="U31" s="137"/>
      <c r="V31" s="320"/>
      <c r="W31" s="135"/>
      <c r="Y31" s="153"/>
    </row>
    <row r="32" spans="2:26" ht="24.75" customHeight="1" x14ac:dyDescent="0.35">
      <c r="B32" s="138" t="s">
        <v>58</v>
      </c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76"/>
      <c r="S32" s="280"/>
      <c r="T32" s="281" t="s">
        <v>324</v>
      </c>
      <c r="U32" s="279" t="s">
        <v>966</v>
      </c>
    </row>
    <row r="33" spans="2:21" ht="17.100000000000001" customHeight="1" x14ac:dyDescent="0.35">
      <c r="B33" s="145"/>
      <c r="C33" s="177"/>
      <c r="D33" s="177"/>
      <c r="E33" s="177"/>
      <c r="F33" s="177"/>
      <c r="G33" s="177"/>
      <c r="H33" s="177"/>
      <c r="I33" s="177"/>
      <c r="J33" s="177"/>
      <c r="K33" s="177"/>
      <c r="L33" s="177"/>
      <c r="M33" s="177"/>
      <c r="N33" s="177"/>
      <c r="O33" s="177"/>
      <c r="P33" s="177"/>
      <c r="Q33" s="177"/>
      <c r="R33" s="178"/>
      <c r="S33" s="150" t="str">
        <f>Zusammenfassung!$C$26</f>
        <v>USD</v>
      </c>
      <c r="T33" s="454">
        <f ca="1">SUMIF(INDIRECT("$P12:$P"&amp;EndZTools),$S33,INDIRECT("T12:T"&amp;EndZTools))</f>
        <v>0</v>
      </c>
      <c r="U33" s="455">
        <f ca="1">SUMIF(INDIRECT("$P12:$P"&amp;EndZTools),$S33,INDIRECT("U12:U"&amp;EndZTools))</f>
        <v>0</v>
      </c>
    </row>
    <row r="34" spans="2:21" ht="17.100000000000001" customHeight="1" x14ac:dyDescent="0.35">
      <c r="B34" s="145"/>
      <c r="C34" s="177"/>
      <c r="D34" s="177"/>
      <c r="E34" s="177"/>
      <c r="F34" s="177"/>
      <c r="G34" s="177"/>
      <c r="H34" s="177"/>
      <c r="I34" s="177"/>
      <c r="J34" s="177"/>
      <c r="K34" s="177"/>
      <c r="L34" s="177"/>
      <c r="M34" s="177"/>
      <c r="N34" s="177"/>
      <c r="O34" s="177"/>
      <c r="P34" s="177"/>
      <c r="Q34" s="177"/>
      <c r="R34" s="177"/>
      <c r="S34" s="155">
        <f>Zusammenfassung!$C$27</f>
        <v>0</v>
      </c>
      <c r="T34" s="551">
        <f ca="1">SUMIF(INDIRECT("$P12:$P"&amp;EndZTools),$S34,INDIRECT("T12:T"&amp;EndZTools))</f>
        <v>0</v>
      </c>
      <c r="U34" s="552">
        <f ca="1">SUMIF(INDIRECT("$P12:$P"&amp;EndZTools),$S34,INDIRECT("U12:U"&amp;EndZTools))</f>
        <v>0</v>
      </c>
    </row>
    <row r="35" spans="2:21" ht="17.100000000000001" customHeight="1" thickBot="1" x14ac:dyDescent="0.4">
      <c r="B35" s="156" t="s">
        <v>407</v>
      </c>
      <c r="C35" s="179"/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61">
        <f>Zusammenfassung!$C$28</f>
        <v>0</v>
      </c>
      <c r="T35" s="553">
        <f ca="1">SUMIF(INDIRECT("$P12:$P"&amp;EndZTools),$S35,INDIRECT("T12:T"&amp;EndZTools))</f>
        <v>0</v>
      </c>
      <c r="U35" s="554">
        <f ca="1">SUMIF(INDIRECT("$P12:$P"&amp;EndZTools),$S35,INDIRECT("U12:U"&amp;EndZTools))</f>
        <v>0</v>
      </c>
    </row>
    <row r="36" spans="2:21" ht="7.5" customHeight="1" x14ac:dyDescent="0.35"/>
  </sheetData>
  <sheetProtection insertRows="0" deleteRows="0"/>
  <mergeCells count="14">
    <mergeCell ref="B4:D4"/>
    <mergeCell ref="R5:U5"/>
    <mergeCell ref="R6:U6"/>
    <mergeCell ref="R7:U7"/>
    <mergeCell ref="R8:U8"/>
    <mergeCell ref="E5:F5"/>
    <mergeCell ref="E6:F6"/>
    <mergeCell ref="E7:F7"/>
    <mergeCell ref="E8:F8"/>
    <mergeCell ref="J5:N5"/>
    <mergeCell ref="J6:N6"/>
    <mergeCell ref="J7:N7"/>
    <mergeCell ref="J8:N8"/>
    <mergeCell ref="G4:I4"/>
  </mergeCells>
  <conditionalFormatting sqref="T34:U34">
    <cfRule type="expression" dxfId="33" priority="15" stopIfTrue="1">
      <formula>$S$34=0</formula>
    </cfRule>
  </conditionalFormatting>
  <conditionalFormatting sqref="T35:U35">
    <cfRule type="expression" dxfId="32" priority="14" stopIfTrue="1">
      <formula>$S$35=0</formula>
    </cfRule>
  </conditionalFormatting>
  <conditionalFormatting sqref="U12:U30">
    <cfRule type="expression" dxfId="31" priority="13" stopIfTrue="1">
      <formula>$C12="SBM"</formula>
    </cfRule>
  </conditionalFormatting>
  <conditionalFormatting sqref="T12:T30">
    <cfRule type="expression" dxfId="30" priority="12" stopIfTrue="1">
      <formula>OR($C12="SEKOF", $C12="Folgewerkzeug", $C12="Werkzeuginstandhaltung")</formula>
    </cfRule>
  </conditionalFormatting>
  <conditionalFormatting sqref="E12:E30">
    <cfRule type="expression" dxfId="29" priority="2" stopIfTrue="1">
      <formula>AND(OR($C12="SEKOF",$C12="Folgewerkzeug",$C12="SBM"),$E12="allgemein")=TRUE</formula>
    </cfRule>
    <cfRule type="expression" dxfId="28" priority="3" stopIfTrue="1">
      <formula>OR(AND($W12="Werkzeuginstandhaltung",OR(X12="SBM",X12="SEKOF")),AND(W12="Folgewerkzeug",X12="SEKOF"),AND(W12="SEKOF",X12="SBM"),AND(W12="SBM",X12="SEKOF"))=TRUE</formula>
    </cfRule>
    <cfRule type="expression" dxfId="27" priority="5" stopIfTrue="1">
      <formula>OR(AND($C12="",$E12&lt;&gt;""),AND($C12&lt;&gt;"",$E12=""))</formula>
    </cfRule>
  </conditionalFormatting>
  <dataValidations count="8">
    <dataValidation type="list" allowBlank="1" showInputMessage="1" showErrorMessage="1" sqref="IK31:IV31 HS12:HT30">
      <formula1>BAUTEILKENNUNG</formula1>
    </dataValidation>
    <dataValidation type="list" allowBlank="1" showInputMessage="1" showErrorMessage="1" sqref="N30">
      <formula1>listZulässigeAngebotswährungen</formula1>
    </dataValidation>
    <dataValidation type="list" allowBlank="1" showInputMessage="1" showErrorMessage="1" sqref="E12:E30">
      <formula1>INDIRECT($C12)</formula1>
    </dataValidation>
    <dataValidation type="list" allowBlank="1" showInputMessage="1" showErrorMessage="1" sqref="P12:P14 P19:P30">
      <formula1>listAngebotsWährungen</formula1>
    </dataValidation>
    <dataValidation type="list" allowBlank="1" showInputMessage="1" showErrorMessage="1" sqref="D12:D30">
      <formula1>listVorhanden</formula1>
    </dataValidation>
    <dataValidation type="list" allowBlank="1" showInputMessage="1" showErrorMessage="1" sqref="C12:C30">
      <formula1>listVerrechnungsformen</formula1>
    </dataValidation>
    <dataValidation allowBlank="1" showInputMessage="1" showErrorMessage="1" errorTitle="ungültige Verrechnungsform" error="TEST_x000a_" sqref="U13:V13 U14:U30"/>
    <dataValidation type="list" allowBlank="1" showInputMessage="1" showErrorMessage="1" sqref="N12:N29 P15:P18">
      <formula1>listZulässigeBeschaffungswährungen</formula1>
    </dataValidation>
  </dataValidations>
  <hyperlinks>
    <hyperlink ref="T2" r:id="rId1"/>
  </hyperlinks>
  <pageMargins left="0.39370078740157483" right="0.39370078740157483" top="0.39370078740157483" bottom="0.39370078740157483" header="0.31496062992125984" footer="0.31496062992125984"/>
  <pageSetup paperSize="9" scale="60" orientation="landscape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tabColor theme="6" tint="0.79998168889431442"/>
    <pageSetUpPr fitToPage="1"/>
  </sheetPr>
  <dimension ref="A1:U35"/>
  <sheetViews>
    <sheetView showZeros="0" zoomScale="85" zoomScaleNormal="85" workbookViewId="0">
      <selection activeCell="P3" activeCellId="1" sqref="B4:D4 P3"/>
    </sheetView>
  </sheetViews>
  <sheetFormatPr baseColWidth="10" defaultColWidth="11.46484375" defaultRowHeight="13.5" x14ac:dyDescent="0.35"/>
  <cols>
    <col min="1" max="1" width="1.46484375" style="691" customWidth="1"/>
    <col min="2" max="2" width="5.796875" style="691" customWidth="1"/>
    <col min="3" max="3" width="33.1328125" style="691" customWidth="1"/>
    <col min="4" max="6" width="8.53125" style="691" customWidth="1"/>
    <col min="7" max="7" width="14.46484375" style="691" customWidth="1"/>
    <col min="8" max="8" width="8.19921875" style="691" customWidth="1"/>
    <col min="9" max="9" width="21.46484375" style="691" customWidth="1"/>
    <col min="10" max="12" width="8.19921875" style="691" customWidth="1"/>
    <col min="13" max="13" width="15.796875" style="691" customWidth="1"/>
    <col min="14" max="14" width="5.796875" style="691" customWidth="1"/>
    <col min="15" max="15" width="13.19921875" style="691" customWidth="1"/>
    <col min="16" max="16" width="5.796875" style="691" customWidth="1"/>
    <col min="17" max="18" width="8.19921875" style="691" customWidth="1"/>
    <col min="19" max="20" width="13.19921875" style="691" customWidth="1"/>
    <col min="21" max="21" width="15.19921875" style="691" bestFit="1" customWidth="1"/>
    <col min="22" max="22" width="1.19921875" style="691" customWidth="1"/>
    <col min="23" max="24" width="11.46484375" style="691" customWidth="1"/>
    <col min="25" max="25" width="1.46484375" style="691" customWidth="1"/>
    <col min="26" max="26" width="18.1328125" style="691" bestFit="1" customWidth="1"/>
    <col min="27" max="16384" width="11.46484375" style="691"/>
  </cols>
  <sheetData>
    <row r="1" spans="1:21" ht="13.9" thickBot="1" x14ac:dyDescent="0.4">
      <c r="A1" s="532"/>
      <c r="B1" s="532"/>
      <c r="C1" s="532">
        <v>8</v>
      </c>
      <c r="D1" s="532">
        <v>5</v>
      </c>
      <c r="E1" s="532">
        <v>22</v>
      </c>
      <c r="F1" s="532"/>
      <c r="G1" s="532">
        <v>7.5</v>
      </c>
      <c r="H1" s="532">
        <v>7.5</v>
      </c>
      <c r="I1" s="532">
        <v>7.5</v>
      </c>
      <c r="J1" s="532">
        <v>7.5</v>
      </c>
      <c r="K1" s="532"/>
      <c r="L1" s="532">
        <v>7.5</v>
      </c>
      <c r="M1" s="532">
        <v>15</v>
      </c>
      <c r="N1" s="532">
        <v>5</v>
      </c>
      <c r="O1" s="532">
        <v>12.5</v>
      </c>
      <c r="P1" s="532">
        <v>5</v>
      </c>
      <c r="Q1" s="534">
        <v>7.5</v>
      </c>
      <c r="R1" s="534">
        <v>7.5</v>
      </c>
      <c r="S1" s="534">
        <v>12.5</v>
      </c>
      <c r="T1" s="534">
        <v>12.5</v>
      </c>
      <c r="U1" s="532">
        <v>10</v>
      </c>
    </row>
    <row r="2" spans="1:21" ht="24.4" x14ac:dyDescent="0.6">
      <c r="A2" s="101"/>
      <c r="B2" s="61" t="s">
        <v>1</v>
      </c>
      <c r="C2" s="61"/>
      <c r="D2" s="64"/>
      <c r="E2" s="64"/>
      <c r="F2" s="64"/>
      <c r="G2" s="61" t="s">
        <v>2</v>
      </c>
      <c r="H2" s="64"/>
      <c r="I2" s="70"/>
      <c r="J2" s="62"/>
      <c r="K2" s="62"/>
      <c r="L2" s="62"/>
      <c r="M2" s="62"/>
      <c r="N2" s="62"/>
      <c r="O2" s="62"/>
      <c r="P2" s="63" t="s">
        <v>46</v>
      </c>
      <c r="Q2" s="63"/>
      <c r="R2" s="62"/>
      <c r="S2" s="70"/>
      <c r="T2" s="686" t="s">
        <v>944</v>
      </c>
      <c r="U2" s="77"/>
    </row>
    <row r="3" spans="1:21" ht="17.25" x14ac:dyDescent="0.45">
      <c r="A3" s="101"/>
      <c r="B3" s="78" t="s">
        <v>496</v>
      </c>
      <c r="C3" s="78"/>
      <c r="D3" s="79"/>
      <c r="E3" s="79"/>
      <c r="F3" s="79"/>
      <c r="G3" s="81" t="s">
        <v>937</v>
      </c>
      <c r="H3" s="79"/>
      <c r="I3" s="79"/>
      <c r="J3" s="82"/>
      <c r="K3" s="82"/>
      <c r="L3" s="82"/>
      <c r="M3" s="82"/>
      <c r="N3" s="82"/>
      <c r="O3" s="82"/>
      <c r="P3" s="718" t="s">
        <v>963</v>
      </c>
      <c r="Q3" s="76"/>
      <c r="R3" s="82"/>
      <c r="S3" s="82"/>
      <c r="T3" s="82"/>
      <c r="U3" s="83"/>
    </row>
    <row r="4" spans="1:21" ht="13.9" thickBot="1" x14ac:dyDescent="0.4">
      <c r="A4" s="101"/>
      <c r="B4" s="969" t="str">
        <f>+Zusammenfassung!B4</f>
        <v>QAF Version 8.5_01_01 © BMW AG</v>
      </c>
      <c r="C4" s="970"/>
      <c r="D4" s="970"/>
      <c r="E4" s="353"/>
      <c r="F4" s="353"/>
      <c r="G4" s="946" t="s">
        <v>943</v>
      </c>
      <c r="H4" s="947"/>
      <c r="I4" s="947"/>
      <c r="J4" s="85"/>
      <c r="K4" s="85"/>
      <c r="L4" s="85"/>
      <c r="M4" s="85"/>
      <c r="N4" s="85"/>
      <c r="O4" s="85"/>
      <c r="P4" s="162"/>
      <c r="Q4" s="85"/>
      <c r="R4" s="85"/>
      <c r="S4" s="85"/>
      <c r="T4" s="85"/>
      <c r="U4" s="86"/>
    </row>
    <row r="5" spans="1:21" ht="15" customHeight="1" x14ac:dyDescent="0.35">
      <c r="A5" s="101"/>
      <c r="B5" s="354" t="s">
        <v>53</v>
      </c>
      <c r="C5" s="354"/>
      <c r="D5" s="934" t="str">
        <f>Zusammenfassung!$C5</f>
        <v>K. Weigand</v>
      </c>
      <c r="E5" s="934"/>
      <c r="F5" s="962"/>
      <c r="G5" s="354" t="s">
        <v>280</v>
      </c>
      <c r="H5" s="355"/>
      <c r="I5" s="355"/>
      <c r="J5" s="934" t="str">
        <f>Zusammenfassung!$I5</f>
        <v>ZF Peterlee</v>
      </c>
      <c r="K5" s="935"/>
      <c r="L5" s="935"/>
      <c r="M5" s="935"/>
      <c r="N5" s="935"/>
      <c r="O5" s="163" t="s">
        <v>6</v>
      </c>
      <c r="P5" s="163"/>
      <c r="Q5" s="164"/>
      <c r="R5" s="948" t="str">
        <f>Zusammenfassung!$M5</f>
        <v>KAFAS4 MonoCam</v>
      </c>
      <c r="S5" s="935"/>
      <c r="T5" s="935"/>
      <c r="U5" s="936"/>
    </row>
    <row r="6" spans="1:21" ht="15" customHeight="1" x14ac:dyDescent="0.35">
      <c r="A6" s="101"/>
      <c r="B6" s="165" t="s">
        <v>7</v>
      </c>
      <c r="C6" s="165"/>
      <c r="D6" s="937">
        <f>HYPERLINK(CONCATENATE("mailto:",Zusammenfassung!C6),Zusammenfassung!C6)</f>
        <v>0</v>
      </c>
      <c r="E6" s="937"/>
      <c r="F6" s="971"/>
      <c r="G6" s="356" t="s">
        <v>8</v>
      </c>
      <c r="H6" s="166"/>
      <c r="I6" s="166"/>
      <c r="J6" s="940">
        <f>Zusammenfassung!$I6</f>
        <v>0</v>
      </c>
      <c r="K6" s="941"/>
      <c r="L6" s="941"/>
      <c r="M6" s="941"/>
      <c r="N6" s="941"/>
      <c r="O6" s="166" t="s">
        <v>9</v>
      </c>
      <c r="P6" s="166"/>
      <c r="Q6" s="167"/>
      <c r="R6" s="940">
        <f>Zusammenfassung!$M6</f>
        <v>0</v>
      </c>
      <c r="S6" s="941"/>
      <c r="T6" s="941"/>
      <c r="U6" s="942"/>
    </row>
    <row r="7" spans="1:21" ht="15" customHeight="1" x14ac:dyDescent="0.35">
      <c r="A7" s="101"/>
      <c r="B7" s="165" t="s">
        <v>10</v>
      </c>
      <c r="C7" s="165"/>
      <c r="D7" s="940">
        <f>Zusammenfassung!$C7</f>
        <v>0</v>
      </c>
      <c r="E7" s="940"/>
      <c r="F7" s="955"/>
      <c r="G7" s="356" t="s">
        <v>11</v>
      </c>
      <c r="H7" s="166"/>
      <c r="I7" s="166"/>
      <c r="J7" s="940" t="str">
        <f>Zusammenfassung!$I7</f>
        <v>All</v>
      </c>
      <c r="K7" s="941"/>
      <c r="L7" s="941"/>
      <c r="M7" s="941"/>
      <c r="N7" s="941"/>
      <c r="O7" s="166" t="s">
        <v>12</v>
      </c>
      <c r="P7" s="166"/>
      <c r="Q7" s="167"/>
      <c r="R7" s="940">
        <f>Zusammenfassung!$M7</f>
        <v>0</v>
      </c>
      <c r="S7" s="941"/>
      <c r="T7" s="941"/>
      <c r="U7" s="942"/>
    </row>
    <row r="8" spans="1:21" ht="15.75" customHeight="1" thickBot="1" x14ac:dyDescent="0.4">
      <c r="A8" s="101"/>
      <c r="B8" s="168" t="s">
        <v>13</v>
      </c>
      <c r="C8" s="168"/>
      <c r="D8" s="943">
        <f>Zusammenfassung!$C8</f>
        <v>43782</v>
      </c>
      <c r="E8" s="943"/>
      <c r="F8" s="956"/>
      <c r="G8" s="170" t="s">
        <v>14</v>
      </c>
      <c r="H8" s="169"/>
      <c r="I8" s="169"/>
      <c r="J8" s="950">
        <f>Zusammenfassung!$I8</f>
        <v>0</v>
      </c>
      <c r="K8" s="944"/>
      <c r="L8" s="944"/>
      <c r="M8" s="944"/>
      <c r="N8" s="944"/>
      <c r="O8" s="169" t="s">
        <v>15</v>
      </c>
      <c r="P8" s="169"/>
      <c r="Q8" s="171"/>
      <c r="R8" s="950" t="str">
        <f>Zusammenfassung!$M8</f>
        <v>Bewertung K. Weigand (Absprung aus PDF-QAF abgeleitet)</v>
      </c>
      <c r="S8" s="944"/>
      <c r="T8" s="944"/>
      <c r="U8" s="945"/>
    </row>
    <row r="9" spans="1:21" ht="9.75" customHeight="1" thickBot="1" x14ac:dyDescent="0.4"/>
    <row r="10" spans="1:21" ht="13.9" thickBot="1" x14ac:dyDescent="0.4">
      <c r="B10" s="289" t="s">
        <v>729</v>
      </c>
      <c r="C10" s="307"/>
      <c r="D10" s="307"/>
      <c r="E10" s="307"/>
      <c r="F10" s="285"/>
      <c r="G10" s="286"/>
      <c r="H10" s="975" t="s">
        <v>730</v>
      </c>
      <c r="I10" s="976"/>
      <c r="J10" s="976"/>
      <c r="K10" s="977"/>
      <c r="L10" s="287" t="s">
        <v>731</v>
      </c>
      <c r="M10" s="488"/>
      <c r="N10" s="290" t="s">
        <v>732</v>
      </c>
      <c r="O10" s="978"/>
      <c r="P10" s="979"/>
      <c r="Q10" s="972"/>
      <c r="R10" s="973"/>
      <c r="S10" s="973"/>
      <c r="T10" s="973"/>
      <c r="U10" s="974"/>
    </row>
    <row r="11" spans="1:21" ht="171.75" customHeight="1" thickBot="1" x14ac:dyDescent="0.4">
      <c r="B11" s="284" t="s">
        <v>733</v>
      </c>
      <c r="C11" s="309" t="s">
        <v>849</v>
      </c>
      <c r="D11" s="309" t="s">
        <v>848</v>
      </c>
      <c r="E11" s="309" t="s">
        <v>316</v>
      </c>
      <c r="F11" s="309" t="s">
        <v>847</v>
      </c>
      <c r="G11" s="288" t="s">
        <v>846</v>
      </c>
      <c r="H11" s="309" t="s">
        <v>845</v>
      </c>
      <c r="I11" s="309" t="s">
        <v>844</v>
      </c>
      <c r="J11" s="309" t="s">
        <v>843</v>
      </c>
      <c r="K11" s="309" t="s">
        <v>842</v>
      </c>
      <c r="L11" s="309" t="s">
        <v>841</v>
      </c>
      <c r="M11" s="991" t="s">
        <v>840</v>
      </c>
      <c r="N11" s="992"/>
      <c r="O11" s="992"/>
      <c r="P11" s="992"/>
      <c r="Q11" s="992"/>
      <c r="R11" s="993"/>
      <c r="S11" s="991" t="s">
        <v>408</v>
      </c>
      <c r="T11" s="992"/>
      <c r="U11" s="993"/>
    </row>
    <row r="12" spans="1:21" ht="21.75" hidden="1" customHeight="1" x14ac:dyDescent="0.35">
      <c r="B12" s="694"/>
      <c r="C12" s="310"/>
      <c r="D12" s="310"/>
      <c r="E12" s="310"/>
      <c r="F12" s="310"/>
      <c r="G12" s="311"/>
      <c r="H12" s="310"/>
      <c r="I12" s="310"/>
      <c r="J12" s="310"/>
      <c r="K12" s="310"/>
      <c r="L12" s="310"/>
      <c r="M12" s="310"/>
      <c r="N12" s="310"/>
      <c r="O12" s="310"/>
      <c r="P12" s="310"/>
      <c r="Q12" s="310"/>
      <c r="R12" s="310"/>
      <c r="S12" s="310"/>
      <c r="T12" s="310"/>
      <c r="U12" s="695"/>
    </row>
    <row r="13" spans="1:21" ht="14.65" hidden="1" thickBot="1" x14ac:dyDescent="0.5">
      <c r="B13" s="696"/>
      <c r="C13" s="542" t="s">
        <v>852</v>
      </c>
      <c r="D13" s="543"/>
      <c r="E13" s="19"/>
      <c r="F13" s="19"/>
      <c r="G13" s="19"/>
      <c r="H13" s="19"/>
      <c r="I13" s="19"/>
      <c r="J13" s="19"/>
      <c r="K13" s="697"/>
      <c r="L13" s="697"/>
      <c r="M13" s="697"/>
      <c r="N13" s="697"/>
      <c r="O13" s="697"/>
      <c r="P13" s="697"/>
      <c r="Q13" s="697"/>
      <c r="R13" s="697"/>
      <c r="S13" s="697"/>
      <c r="T13" s="697"/>
      <c r="U13" s="698"/>
    </row>
    <row r="14" spans="1:21" ht="14.65" hidden="1" thickBot="1" x14ac:dyDescent="0.5">
      <c r="B14" s="696"/>
      <c r="C14" s="542" t="s">
        <v>849</v>
      </c>
      <c r="D14" s="543" t="s">
        <v>734</v>
      </c>
      <c r="E14" s="19"/>
      <c r="F14" s="19"/>
      <c r="G14" s="19"/>
      <c r="H14" s="19"/>
      <c r="I14" s="19"/>
      <c r="J14" s="19"/>
      <c r="K14" s="697"/>
      <c r="L14" s="697"/>
      <c r="M14" s="697"/>
      <c r="N14" s="697"/>
      <c r="O14" s="697"/>
      <c r="P14" s="697"/>
      <c r="Q14" s="697"/>
      <c r="R14" s="697"/>
      <c r="S14" s="697"/>
      <c r="T14" s="697"/>
      <c r="U14" s="698"/>
    </row>
    <row r="15" spans="1:21" x14ac:dyDescent="0.35">
      <c r="B15" s="316">
        <v>1</v>
      </c>
      <c r="C15" s="692"/>
      <c r="D15" s="693"/>
      <c r="E15" s="492" t="str">
        <f>IF(OR(ISBLANK(C15),C15="(Leer)"), "", VLOOKUP(C15,(list_Rohstoffschlüssel),2,FALSE))</f>
        <v/>
      </c>
      <c r="F15" s="500"/>
      <c r="G15" s="489">
        <f t="shared" ref="G15:G20" si="0">D15*F15</f>
        <v>0</v>
      </c>
      <c r="H15" s="503"/>
      <c r="I15" s="503"/>
      <c r="J15" s="512"/>
      <c r="K15" s="513"/>
      <c r="L15" s="513"/>
      <c r="M15" s="994" t="str">
        <f t="shared" ref="M15:M21" si="1">IF(OR(ISBLANK(C15),C15="(Leer)"), "", VLOOKUP(C15,(list_Rohstoffschlüssel),3,FALSE))</f>
        <v/>
      </c>
      <c r="N15" s="995"/>
      <c r="O15" s="995"/>
      <c r="P15" s="995"/>
      <c r="Q15" s="995"/>
      <c r="R15" s="996"/>
      <c r="S15" s="997"/>
      <c r="T15" s="998"/>
      <c r="U15" s="999"/>
    </row>
    <row r="16" spans="1:21" ht="14.25" x14ac:dyDescent="0.45">
      <c r="B16" s="316">
        <v>2</v>
      </c>
      <c r="C16" s="57"/>
      <c r="D16" s="57"/>
      <c r="E16" s="493" t="str">
        <f t="shared" ref="E16:E21" si="2">IF(OR(ISBLANK(C16),C16="(Leer)"), "", VLOOKUP(C16,(list_Rohstoffschlüssel),2,FALSE))</f>
        <v/>
      </c>
      <c r="F16" s="501"/>
      <c r="G16" s="490">
        <f t="shared" si="0"/>
        <v>0</v>
      </c>
      <c r="H16" s="505"/>
      <c r="I16" s="505"/>
      <c r="J16" s="514"/>
      <c r="K16" s="515"/>
      <c r="L16" s="515"/>
      <c r="M16" s="963" t="str">
        <f t="shared" si="1"/>
        <v/>
      </c>
      <c r="N16" s="964"/>
      <c r="O16" s="964"/>
      <c r="P16" s="964"/>
      <c r="Q16" s="964"/>
      <c r="R16" s="965"/>
      <c r="S16" s="966"/>
      <c r="T16" s="967"/>
      <c r="U16" s="968"/>
    </row>
    <row r="17" spans="2:21" ht="14.25" x14ac:dyDescent="0.45">
      <c r="B17" s="316">
        <v>3</v>
      </c>
      <c r="C17" s="57"/>
      <c r="D17" s="57"/>
      <c r="E17" s="493" t="str">
        <f t="shared" si="2"/>
        <v/>
      </c>
      <c r="F17" s="501"/>
      <c r="G17" s="490">
        <f t="shared" si="0"/>
        <v>0</v>
      </c>
      <c r="H17" s="505"/>
      <c r="I17" s="505"/>
      <c r="J17" s="514"/>
      <c r="K17" s="515"/>
      <c r="L17" s="515"/>
      <c r="M17" s="963" t="str">
        <f t="shared" si="1"/>
        <v/>
      </c>
      <c r="N17" s="964"/>
      <c r="O17" s="964"/>
      <c r="P17" s="964"/>
      <c r="Q17" s="964"/>
      <c r="R17" s="965"/>
      <c r="S17" s="966"/>
      <c r="T17" s="967"/>
      <c r="U17" s="968"/>
    </row>
    <row r="18" spans="2:21" ht="14.25" x14ac:dyDescent="0.45">
      <c r="B18" s="316">
        <v>4</v>
      </c>
      <c r="C18" s="57"/>
      <c r="D18" s="57"/>
      <c r="E18" s="493" t="str">
        <f t="shared" si="2"/>
        <v/>
      </c>
      <c r="F18" s="501"/>
      <c r="G18" s="490">
        <f t="shared" si="0"/>
        <v>0</v>
      </c>
      <c r="H18" s="505"/>
      <c r="I18" s="505"/>
      <c r="J18" s="514"/>
      <c r="K18" s="515"/>
      <c r="L18" s="515"/>
      <c r="M18" s="963" t="str">
        <f t="shared" si="1"/>
        <v/>
      </c>
      <c r="N18" s="964"/>
      <c r="O18" s="964"/>
      <c r="P18" s="964"/>
      <c r="Q18" s="964"/>
      <c r="R18" s="965"/>
      <c r="S18" s="966"/>
      <c r="T18" s="967"/>
      <c r="U18" s="968"/>
    </row>
    <row r="19" spans="2:21" ht="14.25" x14ac:dyDescent="0.45">
      <c r="B19" s="316">
        <v>5</v>
      </c>
      <c r="C19" s="57"/>
      <c r="D19" s="57"/>
      <c r="E19" s="493" t="str">
        <f t="shared" si="2"/>
        <v/>
      </c>
      <c r="F19" s="501"/>
      <c r="G19" s="490">
        <f t="shared" si="0"/>
        <v>0</v>
      </c>
      <c r="H19" s="505"/>
      <c r="I19" s="505"/>
      <c r="J19" s="514"/>
      <c r="K19" s="515"/>
      <c r="L19" s="515"/>
      <c r="M19" s="963" t="str">
        <f t="shared" si="1"/>
        <v/>
      </c>
      <c r="N19" s="964"/>
      <c r="O19" s="964"/>
      <c r="P19" s="964"/>
      <c r="Q19" s="964"/>
      <c r="R19" s="965"/>
      <c r="S19" s="966"/>
      <c r="T19" s="967"/>
      <c r="U19" s="968"/>
    </row>
    <row r="20" spans="2:21" ht="14.25" x14ac:dyDescent="0.45">
      <c r="B20" s="316">
        <v>6</v>
      </c>
      <c r="C20" s="57"/>
      <c r="D20" s="57"/>
      <c r="E20" s="493" t="str">
        <f t="shared" si="2"/>
        <v/>
      </c>
      <c r="F20" s="501"/>
      <c r="G20" s="490">
        <f t="shared" si="0"/>
        <v>0</v>
      </c>
      <c r="H20" s="505"/>
      <c r="I20" s="505"/>
      <c r="J20" s="514"/>
      <c r="K20" s="515"/>
      <c r="L20" s="515"/>
      <c r="M20" s="963" t="str">
        <f t="shared" si="1"/>
        <v/>
      </c>
      <c r="N20" s="964"/>
      <c r="O20" s="964"/>
      <c r="P20" s="964"/>
      <c r="Q20" s="964"/>
      <c r="R20" s="965"/>
      <c r="S20" s="966"/>
      <c r="T20" s="967"/>
      <c r="U20" s="968"/>
    </row>
    <row r="21" spans="2:21" ht="14.65" thickBot="1" x14ac:dyDescent="0.5">
      <c r="B21" s="316">
        <v>7</v>
      </c>
      <c r="C21" s="57"/>
      <c r="D21" s="57"/>
      <c r="E21" s="518" t="str">
        <f t="shared" si="2"/>
        <v/>
      </c>
      <c r="F21" s="502"/>
      <c r="G21" s="491"/>
      <c r="H21" s="507"/>
      <c r="I21" s="507"/>
      <c r="J21" s="516"/>
      <c r="K21" s="517"/>
      <c r="L21" s="517"/>
      <c r="M21" s="988" t="str">
        <f t="shared" si="1"/>
        <v/>
      </c>
      <c r="N21" s="989"/>
      <c r="O21" s="989"/>
      <c r="P21" s="989"/>
      <c r="Q21" s="989"/>
      <c r="R21" s="990"/>
      <c r="S21" s="982"/>
      <c r="T21" s="983"/>
      <c r="U21" s="984"/>
    </row>
    <row r="22" spans="2:21" ht="15.4" thickBot="1" x14ac:dyDescent="0.45">
      <c r="B22" s="985" t="s">
        <v>835</v>
      </c>
      <c r="C22" s="986"/>
      <c r="D22" s="986"/>
      <c r="E22" s="986"/>
      <c r="F22" s="986"/>
      <c r="G22" s="986"/>
      <c r="H22" s="986"/>
      <c r="I22" s="986"/>
      <c r="J22" s="986"/>
      <c r="K22" s="986"/>
      <c r="L22" s="986"/>
      <c r="M22" s="986"/>
      <c r="N22" s="986"/>
      <c r="O22" s="986"/>
      <c r="P22" s="986"/>
      <c r="Q22" s="986"/>
      <c r="R22" s="986"/>
      <c r="S22" s="986"/>
      <c r="T22" s="986"/>
      <c r="U22" s="987"/>
    </row>
    <row r="23" spans="2:21" ht="13.9" thickBot="1" x14ac:dyDescent="0.4"/>
    <row r="24" spans="2:21" ht="13.9" thickBot="1" x14ac:dyDescent="0.4">
      <c r="B24" s="1002" t="s">
        <v>764</v>
      </c>
      <c r="C24" s="1003"/>
      <c r="D24" s="1003"/>
      <c r="E24" s="1003"/>
      <c r="F24" s="1003"/>
      <c r="G24" s="1003"/>
      <c r="H24" s="1003"/>
      <c r="I24" s="1003"/>
      <c r="J24" s="1003"/>
      <c r="K24" s="1003"/>
      <c r="L24" s="1003"/>
      <c r="M24" s="1003"/>
      <c r="N24" s="1003"/>
      <c r="O24" s="1003"/>
      <c r="P24" s="1003"/>
      <c r="Q24" s="1003"/>
      <c r="R24" s="1003"/>
      <c r="S24" s="1003"/>
      <c r="T24" s="1003"/>
      <c r="U24" s="1004"/>
    </row>
    <row r="25" spans="2:21" x14ac:dyDescent="0.35">
      <c r="B25" s="315">
        <v>1</v>
      </c>
      <c r="C25" s="503"/>
      <c r="D25" s="504"/>
      <c r="E25" s="497" t="str">
        <f t="shared" ref="E25:E31" si="3">IF(ISBLANK(C25), "", VLOOKUP(C25,(list_Rohstoffschlüssel),2,FALSE))</f>
        <v/>
      </c>
      <c r="F25" s="500"/>
      <c r="G25" s="494">
        <f t="shared" ref="G25:G31" si="4">D25*F25</f>
        <v>0</v>
      </c>
      <c r="H25" s="503"/>
      <c r="I25" s="503"/>
      <c r="J25" s="500"/>
      <c r="K25" s="509"/>
      <c r="L25" s="509"/>
      <c r="M25" s="1005" t="str">
        <f t="shared" ref="M25:M31" si="5">IF(OR(ISBLANK(C25),C25="(Leer)"), "", VLOOKUP(C25,(list_Rohstoffschlüssel),3,FALSE))</f>
        <v/>
      </c>
      <c r="N25" s="1006"/>
      <c r="O25" s="1006"/>
      <c r="P25" s="1006"/>
      <c r="Q25" s="1006"/>
      <c r="R25" s="1006"/>
      <c r="S25" s="1006"/>
      <c r="T25" s="1006"/>
      <c r="U25" s="1007"/>
    </row>
    <row r="26" spans="2:21" x14ac:dyDescent="0.35">
      <c r="B26" s="316">
        <v>2</v>
      </c>
      <c r="C26" s="505"/>
      <c r="D26" s="506"/>
      <c r="E26" s="498" t="str">
        <f t="shared" si="3"/>
        <v/>
      </c>
      <c r="F26" s="501"/>
      <c r="G26" s="495">
        <f t="shared" si="4"/>
        <v>0</v>
      </c>
      <c r="H26" s="505"/>
      <c r="I26" s="505"/>
      <c r="J26" s="501"/>
      <c r="K26" s="510"/>
      <c r="L26" s="510"/>
      <c r="M26" s="980" t="str">
        <f t="shared" si="5"/>
        <v/>
      </c>
      <c r="N26" s="980"/>
      <c r="O26" s="980"/>
      <c r="P26" s="980"/>
      <c r="Q26" s="980"/>
      <c r="R26" s="980"/>
      <c r="S26" s="980"/>
      <c r="T26" s="980"/>
      <c r="U26" s="981"/>
    </row>
    <row r="27" spans="2:21" x14ac:dyDescent="0.35">
      <c r="B27" s="316">
        <v>3</v>
      </c>
      <c r="C27" s="505"/>
      <c r="D27" s="506"/>
      <c r="E27" s="498" t="str">
        <f t="shared" si="3"/>
        <v/>
      </c>
      <c r="F27" s="501"/>
      <c r="G27" s="495">
        <f t="shared" si="4"/>
        <v>0</v>
      </c>
      <c r="H27" s="505"/>
      <c r="I27" s="505"/>
      <c r="J27" s="501"/>
      <c r="K27" s="510"/>
      <c r="L27" s="510"/>
      <c r="M27" s="980" t="str">
        <f t="shared" si="5"/>
        <v/>
      </c>
      <c r="N27" s="980"/>
      <c r="O27" s="980"/>
      <c r="P27" s="980"/>
      <c r="Q27" s="980"/>
      <c r="R27" s="980"/>
      <c r="S27" s="980"/>
      <c r="T27" s="980"/>
      <c r="U27" s="981"/>
    </row>
    <row r="28" spans="2:21" x14ac:dyDescent="0.35">
      <c r="B28" s="316">
        <v>4</v>
      </c>
      <c r="C28" s="505"/>
      <c r="D28" s="506"/>
      <c r="E28" s="498" t="str">
        <f t="shared" si="3"/>
        <v/>
      </c>
      <c r="F28" s="501"/>
      <c r="G28" s="495">
        <f t="shared" si="4"/>
        <v>0</v>
      </c>
      <c r="H28" s="505"/>
      <c r="I28" s="505"/>
      <c r="J28" s="501"/>
      <c r="K28" s="510"/>
      <c r="L28" s="510"/>
      <c r="M28" s="980" t="str">
        <f t="shared" si="5"/>
        <v/>
      </c>
      <c r="N28" s="980"/>
      <c r="O28" s="980"/>
      <c r="P28" s="980"/>
      <c r="Q28" s="980"/>
      <c r="R28" s="980"/>
      <c r="S28" s="980"/>
      <c r="T28" s="980"/>
      <c r="U28" s="981"/>
    </row>
    <row r="29" spans="2:21" x14ac:dyDescent="0.35">
      <c r="B29" s="316">
        <v>5</v>
      </c>
      <c r="C29" s="505"/>
      <c r="D29" s="506"/>
      <c r="E29" s="498" t="str">
        <f t="shared" si="3"/>
        <v/>
      </c>
      <c r="F29" s="501"/>
      <c r="G29" s="495">
        <f t="shared" si="4"/>
        <v>0</v>
      </c>
      <c r="H29" s="505"/>
      <c r="I29" s="505"/>
      <c r="J29" s="501"/>
      <c r="K29" s="510"/>
      <c r="L29" s="510"/>
      <c r="M29" s="980" t="str">
        <f t="shared" si="5"/>
        <v/>
      </c>
      <c r="N29" s="980"/>
      <c r="O29" s="980"/>
      <c r="P29" s="980"/>
      <c r="Q29" s="980"/>
      <c r="R29" s="980"/>
      <c r="S29" s="980"/>
      <c r="T29" s="980"/>
      <c r="U29" s="981"/>
    </row>
    <row r="30" spans="2:21" x14ac:dyDescent="0.35">
      <c r="B30" s="316">
        <v>6</v>
      </c>
      <c r="C30" s="505"/>
      <c r="D30" s="506"/>
      <c r="E30" s="498" t="str">
        <f t="shared" si="3"/>
        <v/>
      </c>
      <c r="F30" s="501"/>
      <c r="G30" s="495">
        <f t="shared" si="4"/>
        <v>0</v>
      </c>
      <c r="H30" s="505"/>
      <c r="I30" s="505"/>
      <c r="J30" s="501"/>
      <c r="K30" s="510"/>
      <c r="L30" s="510"/>
      <c r="M30" s="980" t="str">
        <f t="shared" si="5"/>
        <v/>
      </c>
      <c r="N30" s="980"/>
      <c r="O30" s="980"/>
      <c r="P30" s="980"/>
      <c r="Q30" s="980"/>
      <c r="R30" s="980"/>
      <c r="S30" s="980"/>
      <c r="T30" s="980"/>
      <c r="U30" s="981"/>
    </row>
    <row r="31" spans="2:21" ht="13.9" thickBot="1" x14ac:dyDescent="0.4">
      <c r="B31" s="314">
        <v>7</v>
      </c>
      <c r="C31" s="507"/>
      <c r="D31" s="508"/>
      <c r="E31" s="499" t="str">
        <f t="shared" si="3"/>
        <v/>
      </c>
      <c r="F31" s="502"/>
      <c r="G31" s="496">
        <f t="shared" si="4"/>
        <v>0</v>
      </c>
      <c r="H31" s="507"/>
      <c r="I31" s="507"/>
      <c r="J31" s="502"/>
      <c r="K31" s="511"/>
      <c r="L31" s="511"/>
      <c r="M31" s="1008" t="str">
        <f t="shared" si="5"/>
        <v/>
      </c>
      <c r="N31" s="1008"/>
      <c r="O31" s="1008"/>
      <c r="P31" s="1008"/>
      <c r="Q31" s="1008"/>
      <c r="R31" s="1008"/>
      <c r="S31" s="1008"/>
      <c r="T31" s="1008"/>
      <c r="U31" s="1009"/>
    </row>
    <row r="32" spans="2:21" ht="13.9" thickBot="1" x14ac:dyDescent="0.4"/>
    <row r="33" spans="2:21" x14ac:dyDescent="0.35">
      <c r="B33" s="321"/>
      <c r="C33" s="322"/>
      <c r="D33" s="322"/>
      <c r="E33" s="322"/>
      <c r="F33" s="322"/>
      <c r="G33" s="322"/>
      <c r="H33" s="322"/>
      <c r="I33" s="322"/>
      <c r="J33" s="322"/>
      <c r="K33" s="322"/>
      <c r="L33" s="322"/>
      <c r="M33" s="322"/>
      <c r="N33" s="322"/>
      <c r="O33" s="322"/>
      <c r="P33" s="322"/>
      <c r="Q33" s="322"/>
      <c r="R33" s="322"/>
      <c r="S33" s="322"/>
      <c r="T33" s="322"/>
      <c r="U33" s="323"/>
    </row>
    <row r="34" spans="2:21" ht="13.9" thickBot="1" x14ac:dyDescent="0.4">
      <c r="B34" s="1000" t="s">
        <v>407</v>
      </c>
      <c r="C34" s="1001"/>
      <c r="D34" s="1001"/>
      <c r="E34" s="1001"/>
      <c r="F34" s="1001"/>
      <c r="G34" s="324"/>
      <c r="H34" s="324"/>
      <c r="I34" s="324"/>
      <c r="J34" s="324"/>
      <c r="K34" s="324"/>
      <c r="L34" s="324"/>
      <c r="M34" s="324"/>
      <c r="N34" s="324"/>
      <c r="O34" s="324"/>
      <c r="P34" s="324"/>
      <c r="Q34" s="324"/>
      <c r="R34" s="324"/>
      <c r="S34" s="324"/>
      <c r="T34" s="324"/>
      <c r="U34" s="325"/>
    </row>
    <row r="35" spans="2:21" ht="5.25" customHeight="1" x14ac:dyDescent="0.35"/>
  </sheetData>
  <mergeCells count="43">
    <mergeCell ref="B34:F34"/>
    <mergeCell ref="B24:U24"/>
    <mergeCell ref="M25:U25"/>
    <mergeCell ref="M26:U26"/>
    <mergeCell ref="M27:U27"/>
    <mergeCell ref="M31:U31"/>
    <mergeCell ref="D7:F7"/>
    <mergeCell ref="D8:F8"/>
    <mergeCell ref="M30:U30"/>
    <mergeCell ref="S21:U21"/>
    <mergeCell ref="B22:U22"/>
    <mergeCell ref="M21:R21"/>
    <mergeCell ref="M28:U28"/>
    <mergeCell ref="M11:R11"/>
    <mergeCell ref="S11:U11"/>
    <mergeCell ref="M15:R15"/>
    <mergeCell ref="S15:U15"/>
    <mergeCell ref="M29:U29"/>
    <mergeCell ref="S20:U20"/>
    <mergeCell ref="M16:R16"/>
    <mergeCell ref="J7:N7"/>
    <mergeCell ref="R7:U7"/>
    <mergeCell ref="J8:N8"/>
    <mergeCell ref="R8:U8"/>
    <mergeCell ref="Q10:U10"/>
    <mergeCell ref="H10:K10"/>
    <mergeCell ref="O10:P10"/>
    <mergeCell ref="B4:D4"/>
    <mergeCell ref="J5:N5"/>
    <mergeCell ref="R5:U5"/>
    <mergeCell ref="J6:N6"/>
    <mergeCell ref="R6:U6"/>
    <mergeCell ref="D5:F5"/>
    <mergeCell ref="D6:F6"/>
    <mergeCell ref="G4:I4"/>
    <mergeCell ref="M17:R17"/>
    <mergeCell ref="M18:R18"/>
    <mergeCell ref="M19:R19"/>
    <mergeCell ref="M20:R20"/>
    <mergeCell ref="S16:U16"/>
    <mergeCell ref="S17:U17"/>
    <mergeCell ref="S18:U18"/>
    <mergeCell ref="S19:U19"/>
  </mergeCells>
  <conditionalFormatting sqref="K15:L21 J16:J21">
    <cfRule type="expression" dxfId="26" priority="30" stopIfTrue="1">
      <formula>OR($E15="LZ")</formula>
    </cfRule>
  </conditionalFormatting>
  <conditionalFormatting sqref="J19:L19">
    <cfRule type="expression" dxfId="25" priority="34" stopIfTrue="1">
      <formula>OR($E19="LZ")</formula>
    </cfRule>
  </conditionalFormatting>
  <conditionalFormatting sqref="J16:L16">
    <cfRule type="expression" dxfId="24" priority="36" stopIfTrue="1">
      <formula>OR($E36="LZ")</formula>
    </cfRule>
  </conditionalFormatting>
  <conditionalFormatting sqref="J17:L17">
    <cfRule type="expression" dxfId="23" priority="37" stopIfTrue="1">
      <formula>OR($E39="LZ")</formula>
    </cfRule>
  </conditionalFormatting>
  <conditionalFormatting sqref="F15:L21">
    <cfRule type="expression" dxfId="22" priority="10" stopIfTrue="1">
      <formula>OR($E15="LZ")</formula>
    </cfRule>
  </conditionalFormatting>
  <conditionalFormatting sqref="F17:G17">
    <cfRule type="expression" dxfId="21" priority="9" stopIfTrue="1">
      <formula>OR($E17="LZ")</formula>
    </cfRule>
  </conditionalFormatting>
  <conditionalFormatting sqref="F19:L19">
    <cfRule type="expression" dxfId="20" priority="8" stopIfTrue="1">
      <formula>OR($E19="LZ")</formula>
    </cfRule>
  </conditionalFormatting>
  <conditionalFormatting sqref="H16:L16">
    <cfRule type="expression" dxfId="19" priority="6" stopIfTrue="1">
      <formula>OR($E36="LZ")</formula>
    </cfRule>
  </conditionalFormatting>
  <conditionalFormatting sqref="H17:L17">
    <cfRule type="expression" dxfId="18" priority="5" stopIfTrue="1">
      <formula>OR($E39="LZ")</formula>
    </cfRule>
  </conditionalFormatting>
  <conditionalFormatting sqref="F25:F31">
    <cfRule type="expression" dxfId="17" priority="3" stopIfTrue="1">
      <formula>OR($E25="LZ")</formula>
    </cfRule>
  </conditionalFormatting>
  <conditionalFormatting sqref="F25:F31">
    <cfRule type="expression" dxfId="16" priority="2" stopIfTrue="1">
      <formula>OR($E25="LZ")</formula>
    </cfRule>
  </conditionalFormatting>
  <conditionalFormatting sqref="F21:L21">
    <cfRule type="expression" dxfId="15" priority="1" stopIfTrue="1">
      <formula>OR($E21="LZ")</formula>
    </cfRule>
  </conditionalFormatting>
  <conditionalFormatting sqref="H15:L15">
    <cfRule type="expression" dxfId="14" priority="41" stopIfTrue="1">
      <formula>OR(#REF!="LZ")</formula>
    </cfRule>
  </conditionalFormatting>
  <conditionalFormatting sqref="H20:L20">
    <cfRule type="expression" dxfId="13" priority="42" stopIfTrue="1">
      <formula>OR(#REF!="LZ")</formula>
    </cfRule>
  </conditionalFormatting>
  <dataValidations count="2">
    <dataValidation type="list" allowBlank="1" showInputMessage="1" showErrorMessage="1" sqref="H25:H31 H15:H21">
      <formula1>Abwicklungsmodelle</formula1>
    </dataValidation>
    <dataValidation type="list" allowBlank="1" showInputMessage="1" showErrorMessage="1" sqref="C25:C31">
      <formula1>Ergänzungsschlüssel</formula1>
    </dataValidation>
  </dataValidations>
  <hyperlinks>
    <hyperlink ref="T2" r:id="rId2"/>
  </hyperlinks>
  <pageMargins left="0.70866141732283472" right="0.70866141732283472" top="0.78740157480314965" bottom="0.78740157480314965" header="0.31496062992125984" footer="0.31496062992125984"/>
  <pageSetup paperSize="9" scale="55" orientation="landscape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05Pra">
    <pageSetUpPr fitToPage="1"/>
  </sheetPr>
  <dimension ref="B1:AH127"/>
  <sheetViews>
    <sheetView zoomScale="120" zoomScaleNormal="120" workbookViewId="0">
      <pane ySplit="6" topLeftCell="A29" activePane="bottomLeft" state="frozen"/>
      <selection activeCell="S44" sqref="S44"/>
      <selection pane="bottomLeft" activeCell="T18" sqref="T18"/>
    </sheetView>
  </sheetViews>
  <sheetFormatPr baseColWidth="10" defaultColWidth="11.46484375" defaultRowHeight="14.25" x14ac:dyDescent="0.45"/>
  <cols>
    <col min="1" max="1" width="2.796875" style="48" customWidth="1"/>
    <col min="2" max="2" width="11.796875" style="48" customWidth="1"/>
    <col min="3" max="3" width="40.796875" style="48" customWidth="1"/>
    <col min="4" max="4" width="10.46484375" style="48" customWidth="1"/>
    <col min="5" max="5" width="35.19921875" style="48" customWidth="1"/>
    <col min="6" max="6" width="29.19921875" style="48" customWidth="1"/>
    <col min="7" max="7" width="4.19921875" style="48" customWidth="1"/>
    <col min="8" max="8" width="5.53125" style="48" bestFit="1" customWidth="1"/>
    <col min="9" max="9" width="37.46484375" style="48" customWidth="1"/>
    <col min="10" max="10" width="4.19921875" style="48" customWidth="1"/>
    <col min="11" max="11" width="29.53125" style="48" customWidth="1"/>
    <col min="12" max="12" width="18.1328125" style="48" customWidth="1"/>
    <col min="13" max="13" width="14.796875" style="48" customWidth="1"/>
    <col min="14" max="14" width="4.53125" style="48" customWidth="1"/>
    <col min="15" max="15" width="48.46484375" style="48" customWidth="1"/>
    <col min="16" max="16" width="9.53125" style="48" customWidth="1"/>
    <col min="17" max="17" width="17.53125" style="48" customWidth="1"/>
    <col min="18" max="18" width="4" style="48" customWidth="1"/>
    <col min="19" max="19" width="86.796875" style="48" customWidth="1"/>
    <col min="20" max="20" width="17.796875" style="48" bestFit="1" customWidth="1"/>
    <col min="21" max="21" width="17.53125" style="48" customWidth="1"/>
    <col min="22" max="22" width="4.86328125" style="48" customWidth="1"/>
    <col min="23" max="23" width="25.46484375" style="48" customWidth="1"/>
    <col min="24" max="24" width="5" style="48" customWidth="1"/>
    <col min="25" max="25" width="6.19921875" style="48" customWidth="1"/>
    <col min="26" max="26" width="4.1328125" style="48" customWidth="1"/>
    <col min="27" max="27" width="26.1328125" style="48" bestFit="1" customWidth="1"/>
    <col min="28" max="28" width="11.46484375" style="48"/>
    <col min="29" max="29" width="13.46484375" style="48" bestFit="1" customWidth="1"/>
    <col min="30" max="31" width="11.46484375" style="48"/>
    <col min="32" max="32" width="48" style="277" bestFit="1" customWidth="1"/>
    <col min="33" max="33" width="11.46484375" style="48"/>
    <col min="34" max="34" width="85.53125" style="48" bestFit="1" customWidth="1"/>
    <col min="35" max="35" width="18.46484375" style="48" customWidth="1"/>
    <col min="36" max="16384" width="11.46484375" style="48"/>
  </cols>
  <sheetData>
    <row r="1" spans="2:34" ht="9.75" customHeight="1" thickBot="1" x14ac:dyDescent="0.5"/>
    <row r="2" spans="2:34" ht="26.25" customHeight="1" x14ac:dyDescent="0.7">
      <c r="B2" s="9" t="s">
        <v>1</v>
      </c>
      <c r="C2" s="12"/>
      <c r="D2" s="1"/>
      <c r="E2" s="1"/>
      <c r="F2" s="12" t="s">
        <v>2</v>
      </c>
      <c r="G2" s="1"/>
      <c r="H2" s="1"/>
      <c r="I2" s="1"/>
      <c r="J2" s="1"/>
      <c r="K2" s="2"/>
    </row>
    <row r="3" spans="2:34" ht="17.25" x14ac:dyDescent="0.45">
      <c r="B3" s="10" t="s">
        <v>3</v>
      </c>
      <c r="C3" s="13"/>
      <c r="D3" s="7"/>
      <c r="E3" s="7"/>
      <c r="F3" s="15" t="s">
        <v>59</v>
      </c>
      <c r="G3" s="3"/>
      <c r="H3" s="3"/>
      <c r="I3" s="3"/>
      <c r="J3" s="3"/>
      <c r="K3" s="4"/>
    </row>
    <row r="4" spans="2:34" ht="14.65" thickBot="1" x14ac:dyDescent="0.5">
      <c r="B4" s="11" t="s">
        <v>391</v>
      </c>
      <c r="C4" s="14"/>
      <c r="D4" s="20"/>
      <c r="E4" s="20"/>
      <c r="F4" s="5"/>
      <c r="G4" s="5"/>
      <c r="H4" s="5"/>
      <c r="I4" s="5"/>
      <c r="J4" s="5"/>
      <c r="K4" s="6"/>
      <c r="O4" s="37">
        <v>41925</v>
      </c>
      <c r="S4" s="37">
        <v>41925</v>
      </c>
    </row>
    <row r="6" spans="2:34" ht="33.75" customHeight="1" x14ac:dyDescent="0.45">
      <c r="B6" s="291" t="s">
        <v>60</v>
      </c>
      <c r="C6" s="292"/>
      <c r="D6" s="8"/>
      <c r="E6" s="27" t="s">
        <v>61</v>
      </c>
      <c r="F6" s="28"/>
      <c r="G6" s="29"/>
      <c r="H6" s="1010" t="s">
        <v>461</v>
      </c>
      <c r="I6" s="1011"/>
      <c r="J6" s="29"/>
      <c r="K6" s="27" t="s">
        <v>279</v>
      </c>
      <c r="L6" s="30" t="s">
        <v>288</v>
      </c>
      <c r="M6" s="31" t="s">
        <v>226</v>
      </c>
      <c r="O6" s="34" t="s">
        <v>398</v>
      </c>
      <c r="P6" s="42"/>
      <c r="Q6" s="35" t="s">
        <v>310</v>
      </c>
      <c r="S6" s="34" t="s">
        <v>956</v>
      </c>
      <c r="T6" s="42" t="s">
        <v>415</v>
      </c>
      <c r="U6" s="35" t="s">
        <v>310</v>
      </c>
      <c r="W6" s="38" t="s">
        <v>399</v>
      </c>
      <c r="Y6" s="38" t="s">
        <v>400</v>
      </c>
      <c r="AA6" s="41" t="s">
        <v>412</v>
      </c>
      <c r="AC6" s="41" t="s">
        <v>458</v>
      </c>
      <c r="AE6" s="49" t="s">
        <v>594</v>
      </c>
      <c r="AF6" s="58"/>
      <c r="AH6" s="56" t="s">
        <v>640</v>
      </c>
    </row>
    <row r="7" spans="2:34" ht="6" customHeight="1" thickBot="1" x14ac:dyDescent="0.5">
      <c r="B7" s="293"/>
      <c r="C7" s="294"/>
      <c r="E7" s="25"/>
      <c r="F7" s="25"/>
      <c r="K7" s="25"/>
      <c r="L7" s="25"/>
      <c r="M7" s="25"/>
      <c r="T7" s="712"/>
    </row>
    <row r="8" spans="2:34" x14ac:dyDescent="0.45">
      <c r="B8" s="295" t="s">
        <v>497</v>
      </c>
      <c r="C8" s="296" t="s">
        <v>546</v>
      </c>
      <c r="E8" s="45" t="s">
        <v>45</v>
      </c>
      <c r="F8" s="46" t="s">
        <v>84</v>
      </c>
      <c r="H8" s="45" t="s">
        <v>45</v>
      </c>
      <c r="I8" s="46" t="s">
        <v>84</v>
      </c>
      <c r="K8" s="23" t="s">
        <v>122</v>
      </c>
      <c r="L8" s="19" t="s">
        <v>123</v>
      </c>
      <c r="M8" s="24" t="s">
        <v>224</v>
      </c>
      <c r="O8" s="609" t="s">
        <v>416</v>
      </c>
      <c r="P8" s="610" t="s">
        <v>324</v>
      </c>
      <c r="Q8" s="33"/>
      <c r="S8" s="617" t="s">
        <v>347</v>
      </c>
      <c r="T8" s="711" t="s">
        <v>955</v>
      </c>
      <c r="U8" s="33"/>
      <c r="W8" s="39" t="s">
        <v>332</v>
      </c>
      <c r="Y8" s="32" t="s">
        <v>374</v>
      </c>
      <c r="AA8" s="39" t="s">
        <v>324</v>
      </c>
      <c r="AC8" s="39" t="s">
        <v>459</v>
      </c>
      <c r="AE8" s="50">
        <v>40765</v>
      </c>
      <c r="AF8" s="278" t="s">
        <v>595</v>
      </c>
      <c r="AH8" s="57" t="s">
        <v>639</v>
      </c>
    </row>
    <row r="9" spans="2:34" x14ac:dyDescent="0.45">
      <c r="B9" s="297" t="s">
        <v>498</v>
      </c>
      <c r="C9" s="298" t="s">
        <v>547</v>
      </c>
      <c r="E9" s="54" t="s">
        <v>65</v>
      </c>
      <c r="F9" s="53" t="s">
        <v>64</v>
      </c>
      <c r="H9" s="54" t="s">
        <v>65</v>
      </c>
      <c r="I9" s="53" t="s">
        <v>64</v>
      </c>
      <c r="K9" s="23" t="s">
        <v>88</v>
      </c>
      <c r="L9" s="19" t="s">
        <v>89</v>
      </c>
      <c r="M9" s="24" t="s">
        <v>225</v>
      </c>
      <c r="O9" s="611" t="s">
        <v>417</v>
      </c>
      <c r="P9" s="612" t="s">
        <v>324</v>
      </c>
      <c r="Q9" s="24"/>
      <c r="S9" s="618" t="s">
        <v>348</v>
      </c>
      <c r="T9" s="713" t="s">
        <v>955</v>
      </c>
      <c r="U9" s="24"/>
      <c r="W9" s="653" t="s">
        <v>936</v>
      </c>
      <c r="Y9" s="22" t="s">
        <v>375</v>
      </c>
      <c r="AA9" s="713" t="s">
        <v>955</v>
      </c>
      <c r="AC9" s="21" t="s">
        <v>449</v>
      </c>
      <c r="AE9" s="51">
        <v>40765</v>
      </c>
      <c r="AF9" s="67" t="s">
        <v>596</v>
      </c>
      <c r="AH9" s="19"/>
    </row>
    <row r="10" spans="2:34" x14ac:dyDescent="0.45">
      <c r="B10" s="297" t="s">
        <v>499</v>
      </c>
      <c r="C10" s="298" t="s">
        <v>548</v>
      </c>
      <c r="E10" s="54" t="s">
        <v>67</v>
      </c>
      <c r="F10" s="53" t="s">
        <v>68</v>
      </c>
      <c r="H10" s="54" t="s">
        <v>67</v>
      </c>
      <c r="I10" s="53" t="s">
        <v>68</v>
      </c>
      <c r="K10" s="23" t="s">
        <v>182</v>
      </c>
      <c r="L10" s="19" t="s">
        <v>183</v>
      </c>
      <c r="M10" s="24" t="s">
        <v>227</v>
      </c>
      <c r="O10" s="611" t="s">
        <v>291</v>
      </c>
      <c r="P10" s="612" t="s">
        <v>324</v>
      </c>
      <c r="Q10" s="24"/>
      <c r="S10" s="619" t="s">
        <v>430</v>
      </c>
      <c r="T10" s="713" t="s">
        <v>955</v>
      </c>
      <c r="U10" s="24"/>
      <c r="W10" s="21" t="s">
        <v>363</v>
      </c>
      <c r="AA10" s="21" t="s">
        <v>325</v>
      </c>
      <c r="AC10" s="22" t="s">
        <v>448</v>
      </c>
      <c r="AE10" s="51">
        <v>40765</v>
      </c>
      <c r="AF10" s="67" t="s">
        <v>597</v>
      </c>
      <c r="AH10" s="19"/>
    </row>
    <row r="11" spans="2:34" x14ac:dyDescent="0.45">
      <c r="B11" s="297" t="s">
        <v>500</v>
      </c>
      <c r="C11" s="298" t="s">
        <v>549</v>
      </c>
      <c r="E11" s="54" t="s">
        <v>78</v>
      </c>
      <c r="F11" s="53" t="s">
        <v>79</v>
      </c>
      <c r="H11" s="54" t="s">
        <v>78</v>
      </c>
      <c r="I11" s="53" t="s">
        <v>79</v>
      </c>
      <c r="K11" s="23" t="s">
        <v>90</v>
      </c>
      <c r="L11" s="19" t="s">
        <v>91</v>
      </c>
      <c r="M11" s="24" t="s">
        <v>83</v>
      </c>
      <c r="O11" s="611" t="s">
        <v>418</v>
      </c>
      <c r="P11" s="612" t="s">
        <v>324</v>
      </c>
      <c r="Q11" s="24"/>
      <c r="S11" s="618" t="s">
        <v>464</v>
      </c>
      <c r="T11" s="713" t="s">
        <v>955</v>
      </c>
      <c r="U11" s="24"/>
      <c r="W11" s="21" t="s">
        <v>364</v>
      </c>
      <c r="AA11" s="22" t="s">
        <v>640</v>
      </c>
      <c r="AE11" s="51">
        <v>40765</v>
      </c>
      <c r="AF11" s="67" t="s">
        <v>598</v>
      </c>
      <c r="AH11" s="19"/>
    </row>
    <row r="12" spans="2:34" x14ac:dyDescent="0.45">
      <c r="B12" s="297" t="s">
        <v>501</v>
      </c>
      <c r="C12" s="298" t="s">
        <v>550</v>
      </c>
      <c r="E12" s="54" t="s">
        <v>227</v>
      </c>
      <c r="F12" s="53" t="s">
        <v>486</v>
      </c>
      <c r="H12" s="54" t="s">
        <v>225</v>
      </c>
      <c r="I12" s="53" t="s">
        <v>599</v>
      </c>
      <c r="K12" s="23" t="s">
        <v>94</v>
      </c>
      <c r="L12" s="19" t="s">
        <v>95</v>
      </c>
      <c r="M12" s="24" t="s">
        <v>228</v>
      </c>
      <c r="O12" s="611" t="s">
        <v>293</v>
      </c>
      <c r="P12" s="612" t="s">
        <v>324</v>
      </c>
      <c r="Q12" s="24"/>
      <c r="S12" s="618" t="s">
        <v>867</v>
      </c>
      <c r="T12" s="713" t="s">
        <v>955</v>
      </c>
      <c r="U12" s="24"/>
      <c r="W12" s="40" t="s">
        <v>451</v>
      </c>
      <c r="AE12" s="51">
        <v>40766</v>
      </c>
      <c r="AF12" s="67" t="s">
        <v>624</v>
      </c>
      <c r="AH12" s="19"/>
    </row>
    <row r="13" spans="2:34" x14ac:dyDescent="0.45">
      <c r="B13" s="297" t="s">
        <v>502</v>
      </c>
      <c r="C13" s="298" t="s">
        <v>551</v>
      </c>
      <c r="E13" s="54" t="s">
        <v>83</v>
      </c>
      <c r="F13" s="53" t="s">
        <v>474</v>
      </c>
      <c r="H13" s="54" t="s">
        <v>600</v>
      </c>
      <c r="I13" s="53" t="s">
        <v>601</v>
      </c>
      <c r="K13" s="23" t="s">
        <v>92</v>
      </c>
      <c r="L13" s="19" t="s">
        <v>93</v>
      </c>
      <c r="M13" s="24" t="s">
        <v>45</v>
      </c>
      <c r="O13" s="611" t="s">
        <v>419</v>
      </c>
      <c r="P13" s="612" t="s">
        <v>324</v>
      </c>
      <c r="Q13" s="24"/>
      <c r="S13" s="618" t="s">
        <v>431</v>
      </c>
      <c r="T13" s="713" t="s">
        <v>955</v>
      </c>
      <c r="U13" s="24"/>
      <c r="W13" s="40" t="s">
        <v>452</v>
      </c>
      <c r="AE13" s="51">
        <v>40766</v>
      </c>
      <c r="AF13" s="67" t="s">
        <v>637</v>
      </c>
      <c r="AH13" s="19"/>
    </row>
    <row r="14" spans="2:34" x14ac:dyDescent="0.45">
      <c r="B14" s="297" t="s">
        <v>503</v>
      </c>
      <c r="C14" s="298" t="s">
        <v>552</v>
      </c>
      <c r="E14" s="54" t="s">
        <v>230</v>
      </c>
      <c r="F14" s="53" t="s">
        <v>466</v>
      </c>
      <c r="H14" s="54" t="s">
        <v>227</v>
      </c>
      <c r="I14" s="53" t="s">
        <v>486</v>
      </c>
      <c r="K14" s="23" t="s">
        <v>98</v>
      </c>
      <c r="L14" s="19" t="s">
        <v>99</v>
      </c>
      <c r="M14" s="24" t="s">
        <v>229</v>
      </c>
      <c r="O14" s="611" t="s">
        <v>299</v>
      </c>
      <c r="P14" s="612" t="s">
        <v>324</v>
      </c>
      <c r="Q14" s="24"/>
      <c r="S14" s="618" t="s">
        <v>349</v>
      </c>
      <c r="T14" s="713" t="s">
        <v>955</v>
      </c>
      <c r="U14" s="24"/>
      <c r="W14" s="40" t="s">
        <v>365</v>
      </c>
      <c r="AE14" s="51">
        <v>40766</v>
      </c>
      <c r="AF14" s="67" t="s">
        <v>638</v>
      </c>
      <c r="AH14" s="19"/>
    </row>
    <row r="15" spans="2:34" x14ac:dyDescent="0.45">
      <c r="B15" s="297" t="s">
        <v>504</v>
      </c>
      <c r="C15" s="298" t="s">
        <v>553</v>
      </c>
      <c r="E15" s="54" t="s">
        <v>66</v>
      </c>
      <c r="F15" s="53" t="s">
        <v>493</v>
      </c>
      <c r="H15" s="54" t="s">
        <v>83</v>
      </c>
      <c r="I15" s="53" t="s">
        <v>474</v>
      </c>
      <c r="K15" s="23" t="s">
        <v>100</v>
      </c>
      <c r="L15" s="19" t="s">
        <v>101</v>
      </c>
      <c r="M15" s="24" t="s">
        <v>66</v>
      </c>
      <c r="O15" s="611" t="s">
        <v>302</v>
      </c>
      <c r="P15" s="612" t="s">
        <v>324</v>
      </c>
      <c r="Q15" s="24"/>
      <c r="S15" s="618" t="s">
        <v>465</v>
      </c>
      <c r="T15" s="713" t="s">
        <v>955</v>
      </c>
      <c r="U15" s="24"/>
      <c r="W15" s="40" t="s">
        <v>366</v>
      </c>
      <c r="AE15" s="51">
        <v>40780</v>
      </c>
      <c r="AF15" s="67" t="s">
        <v>641</v>
      </c>
      <c r="AH15" s="19"/>
    </row>
    <row r="16" spans="2:34" x14ac:dyDescent="0.45">
      <c r="B16" s="297" t="s">
        <v>505</v>
      </c>
      <c r="C16" s="298" t="s">
        <v>554</v>
      </c>
      <c r="E16" s="54" t="s">
        <v>62</v>
      </c>
      <c r="F16" s="53" t="s">
        <v>492</v>
      </c>
      <c r="H16" s="23" t="s">
        <v>229</v>
      </c>
      <c r="I16" s="24" t="s">
        <v>602</v>
      </c>
      <c r="K16" s="23" t="s">
        <v>96</v>
      </c>
      <c r="L16" s="19" t="s">
        <v>97</v>
      </c>
      <c r="M16" s="24" t="s">
        <v>230</v>
      </c>
      <c r="O16" s="611" t="s">
        <v>420</v>
      </c>
      <c r="P16" s="612" t="s">
        <v>324</v>
      </c>
      <c r="Q16" s="24"/>
      <c r="S16" s="618" t="s">
        <v>838</v>
      </c>
      <c r="T16" s="713" t="s">
        <v>955</v>
      </c>
      <c r="U16" s="24"/>
      <c r="W16" s="40" t="s">
        <v>367</v>
      </c>
      <c r="AE16" s="51">
        <v>40780</v>
      </c>
      <c r="AF16" s="67" t="s">
        <v>642</v>
      </c>
      <c r="AH16" s="19"/>
    </row>
    <row r="17" spans="2:34" x14ac:dyDescent="0.45">
      <c r="B17" s="297" t="s">
        <v>506</v>
      </c>
      <c r="C17" s="298" t="s">
        <v>555</v>
      </c>
      <c r="E17" s="54" t="s">
        <v>74</v>
      </c>
      <c r="F17" s="53" t="s">
        <v>75</v>
      </c>
      <c r="H17" s="23" t="s">
        <v>228</v>
      </c>
      <c r="I17" s="24" t="s">
        <v>603</v>
      </c>
      <c r="K17" s="23" t="s">
        <v>108</v>
      </c>
      <c r="L17" s="19" t="s">
        <v>109</v>
      </c>
      <c r="M17" s="24" t="s">
        <v>78</v>
      </c>
      <c r="O17" s="611" t="s">
        <v>421</v>
      </c>
      <c r="P17" s="612" t="s">
        <v>324</v>
      </c>
      <c r="Q17" s="24"/>
      <c r="S17" s="620" t="s">
        <v>868</v>
      </c>
      <c r="T17" s="713" t="s">
        <v>955</v>
      </c>
      <c r="U17" s="24"/>
      <c r="W17" s="52" t="s">
        <v>333</v>
      </c>
      <c r="AE17" s="51">
        <v>40995</v>
      </c>
      <c r="AF17" s="67" t="s">
        <v>648</v>
      </c>
      <c r="AH17" s="19"/>
    </row>
    <row r="18" spans="2:34" ht="28.5" customHeight="1" x14ac:dyDescent="0.45">
      <c r="B18" s="297" t="s">
        <v>507</v>
      </c>
      <c r="C18" s="298" t="s">
        <v>556</v>
      </c>
      <c r="E18" s="54" t="s">
        <v>237</v>
      </c>
      <c r="F18" s="53" t="s">
        <v>475</v>
      </c>
      <c r="H18" s="54" t="s">
        <v>230</v>
      </c>
      <c r="I18" s="53" t="s">
        <v>604</v>
      </c>
      <c r="K18" s="23" t="s">
        <v>116</v>
      </c>
      <c r="L18" s="19" t="s">
        <v>117</v>
      </c>
      <c r="M18" s="24" t="s">
        <v>231</v>
      </c>
      <c r="O18" s="611" t="s">
        <v>422</v>
      </c>
      <c r="P18" s="612" t="s">
        <v>324</v>
      </c>
      <c r="Q18" s="24"/>
      <c r="S18" s="618" t="s">
        <v>432</v>
      </c>
      <c r="T18" s="713" t="s">
        <v>955</v>
      </c>
      <c r="U18" s="24"/>
      <c r="W18" s="40" t="s">
        <v>456</v>
      </c>
      <c r="AE18" s="59">
        <v>41039</v>
      </c>
      <c r="AF18" s="67" t="s">
        <v>649</v>
      </c>
      <c r="AH18" s="19"/>
    </row>
    <row r="19" spans="2:34" x14ac:dyDescent="0.45">
      <c r="B19" s="297" t="s">
        <v>508</v>
      </c>
      <c r="C19" s="298" t="s">
        <v>557</v>
      </c>
      <c r="E19" s="54" t="s">
        <v>231</v>
      </c>
      <c r="F19" s="53" t="s">
        <v>467</v>
      </c>
      <c r="H19" s="54" t="s">
        <v>66</v>
      </c>
      <c r="I19" s="53" t="s">
        <v>493</v>
      </c>
      <c r="K19" s="23" t="s">
        <v>114</v>
      </c>
      <c r="L19" s="19" t="s">
        <v>115</v>
      </c>
      <c r="M19" s="24" t="s">
        <v>45</v>
      </c>
      <c r="O19" s="611" t="s">
        <v>360</v>
      </c>
      <c r="P19" s="612" t="s">
        <v>324</v>
      </c>
      <c r="Q19" s="24"/>
      <c r="S19" s="618" t="s">
        <v>433</v>
      </c>
      <c r="T19" s="713" t="s">
        <v>955</v>
      </c>
      <c r="U19" s="24"/>
      <c r="W19" s="40" t="s">
        <v>457</v>
      </c>
      <c r="AE19" s="65">
        <v>41039</v>
      </c>
      <c r="AF19" s="67" t="s">
        <v>650</v>
      </c>
      <c r="AH19" s="19"/>
    </row>
    <row r="20" spans="2:34" x14ac:dyDescent="0.45">
      <c r="B20" s="297" t="s">
        <v>509</v>
      </c>
      <c r="C20" s="298" t="s">
        <v>558</v>
      </c>
      <c r="E20" s="54" t="s">
        <v>224</v>
      </c>
      <c r="F20" s="53" t="s">
        <v>468</v>
      </c>
      <c r="H20" s="54" t="s">
        <v>272</v>
      </c>
      <c r="I20" s="53" t="s">
        <v>605</v>
      </c>
      <c r="K20" s="23" t="s">
        <v>249</v>
      </c>
      <c r="L20" s="26" t="s">
        <v>289</v>
      </c>
      <c r="M20" s="24" t="s">
        <v>250</v>
      </c>
      <c r="O20" s="611" t="s">
        <v>423</v>
      </c>
      <c r="P20" s="612" t="s">
        <v>324</v>
      </c>
      <c r="Q20" s="24"/>
      <c r="S20" s="618" t="s">
        <v>350</v>
      </c>
      <c r="T20" s="713" t="s">
        <v>955</v>
      </c>
      <c r="U20" s="24"/>
      <c r="W20" s="40" t="s">
        <v>445</v>
      </c>
      <c r="AE20" s="68">
        <v>41039</v>
      </c>
      <c r="AF20" s="67" t="s">
        <v>651</v>
      </c>
      <c r="AH20" s="19"/>
    </row>
    <row r="21" spans="2:34" x14ac:dyDescent="0.45">
      <c r="B21" s="297" t="s">
        <v>510</v>
      </c>
      <c r="C21" s="298" t="s">
        <v>559</v>
      </c>
      <c r="E21" s="54" t="s">
        <v>460</v>
      </c>
      <c r="F21" s="53" t="s">
        <v>469</v>
      </c>
      <c r="H21" s="54" t="s">
        <v>62</v>
      </c>
      <c r="I21" s="53" t="s">
        <v>492</v>
      </c>
      <c r="K21" s="23" t="s">
        <v>120</v>
      </c>
      <c r="L21" s="19" t="s">
        <v>121</v>
      </c>
      <c r="M21" s="24" t="s">
        <v>45</v>
      </c>
      <c r="O21" s="611" t="s">
        <v>424</v>
      </c>
      <c r="P21" s="612" t="s">
        <v>324</v>
      </c>
      <c r="Q21" s="24"/>
      <c r="S21" s="618" t="s">
        <v>351</v>
      </c>
      <c r="T21" s="713" t="s">
        <v>955</v>
      </c>
      <c r="U21" s="24"/>
      <c r="W21" s="40" t="s">
        <v>446</v>
      </c>
      <c r="AE21" s="68">
        <v>41039</v>
      </c>
      <c r="AF21" s="67" t="s">
        <v>652</v>
      </c>
      <c r="AH21" s="19"/>
    </row>
    <row r="22" spans="2:34" ht="28.5" x14ac:dyDescent="0.45">
      <c r="B22" s="297" t="s">
        <v>511</v>
      </c>
      <c r="C22" s="298" t="s">
        <v>560</v>
      </c>
      <c r="E22" s="54" t="s">
        <v>238</v>
      </c>
      <c r="F22" s="53" t="s">
        <v>476</v>
      </c>
      <c r="H22" s="54" t="s">
        <v>74</v>
      </c>
      <c r="I22" s="53" t="s">
        <v>75</v>
      </c>
      <c r="K22" s="23" t="s">
        <v>126</v>
      </c>
      <c r="L22" s="19" t="s">
        <v>127</v>
      </c>
      <c r="M22" s="24" t="s">
        <v>45</v>
      </c>
      <c r="O22" s="611" t="s">
        <v>405</v>
      </c>
      <c r="P22" s="612" t="s">
        <v>324</v>
      </c>
      <c r="Q22" s="24"/>
      <c r="S22" s="619" t="s">
        <v>434</v>
      </c>
      <c r="T22" s="713" t="s">
        <v>955</v>
      </c>
      <c r="U22" s="24"/>
      <c r="W22" s="40" t="s">
        <v>447</v>
      </c>
      <c r="AE22" s="68">
        <v>41039</v>
      </c>
      <c r="AF22" s="67" t="s">
        <v>653</v>
      </c>
      <c r="AH22" s="19"/>
    </row>
    <row r="23" spans="2:34" x14ac:dyDescent="0.45">
      <c r="B23" s="297" t="s">
        <v>512</v>
      </c>
      <c r="C23" s="298" t="s">
        <v>561</v>
      </c>
      <c r="E23" s="54" t="s">
        <v>263</v>
      </c>
      <c r="F23" s="53" t="s">
        <v>477</v>
      </c>
      <c r="H23" s="54" t="s">
        <v>237</v>
      </c>
      <c r="I23" s="53" t="s">
        <v>475</v>
      </c>
      <c r="K23" s="23" t="s">
        <v>124</v>
      </c>
      <c r="L23" s="19" t="s">
        <v>125</v>
      </c>
      <c r="M23" s="24" t="s">
        <v>45</v>
      </c>
      <c r="O23" s="611" t="s">
        <v>425</v>
      </c>
      <c r="P23" s="612" t="s">
        <v>324</v>
      </c>
      <c r="Q23" s="24"/>
      <c r="S23" s="618" t="s">
        <v>435</v>
      </c>
      <c r="T23" s="713" t="s">
        <v>955</v>
      </c>
      <c r="U23" s="24"/>
      <c r="W23" s="40" t="s">
        <v>448</v>
      </c>
      <c r="AE23" s="68">
        <v>41043</v>
      </c>
      <c r="AF23" s="67" t="s">
        <v>654</v>
      </c>
      <c r="AH23" s="19"/>
    </row>
    <row r="24" spans="2:34" x14ac:dyDescent="0.45">
      <c r="B24" s="297" t="s">
        <v>513</v>
      </c>
      <c r="C24" s="298" t="s">
        <v>562</v>
      </c>
      <c r="E24" s="54" t="s">
        <v>77</v>
      </c>
      <c r="F24" s="53" t="s">
        <v>478</v>
      </c>
      <c r="H24" s="54" t="s">
        <v>231</v>
      </c>
      <c r="I24" s="53" t="s">
        <v>467</v>
      </c>
      <c r="K24" s="23" t="s">
        <v>130</v>
      </c>
      <c r="L24" s="19" t="s">
        <v>131</v>
      </c>
      <c r="M24" s="24" t="s">
        <v>45</v>
      </c>
      <c r="O24" s="611" t="s">
        <v>294</v>
      </c>
      <c r="P24" s="612" t="s">
        <v>324</v>
      </c>
      <c r="Q24" s="24"/>
      <c r="S24" s="618" t="s">
        <v>352</v>
      </c>
      <c r="T24" s="713" t="s">
        <v>955</v>
      </c>
      <c r="U24" s="24"/>
      <c r="W24" s="40" t="s">
        <v>449</v>
      </c>
      <c r="AE24" s="68">
        <v>41043</v>
      </c>
      <c r="AF24" s="67" t="s">
        <v>655</v>
      </c>
      <c r="AH24" s="19"/>
    </row>
    <row r="25" spans="2:34" x14ac:dyDescent="0.45">
      <c r="B25" s="297" t="s">
        <v>514</v>
      </c>
      <c r="C25" s="298" t="s">
        <v>563</v>
      </c>
      <c r="E25" s="54" t="s">
        <v>81</v>
      </c>
      <c r="F25" s="53" t="s">
        <v>479</v>
      </c>
      <c r="H25" s="54" t="s">
        <v>224</v>
      </c>
      <c r="I25" s="53" t="s">
        <v>468</v>
      </c>
      <c r="K25" s="23" t="s">
        <v>128</v>
      </c>
      <c r="L25" s="19" t="s">
        <v>129</v>
      </c>
      <c r="M25" s="24" t="s">
        <v>67</v>
      </c>
      <c r="O25" s="611" t="s">
        <v>303</v>
      </c>
      <c r="P25" s="612" t="s">
        <v>324</v>
      </c>
      <c r="Q25" s="24"/>
      <c r="S25" s="619" t="s">
        <v>353</v>
      </c>
      <c r="T25" s="713" t="s">
        <v>955</v>
      </c>
      <c r="U25" s="24"/>
      <c r="W25" s="40" t="s">
        <v>450</v>
      </c>
      <c r="AE25" s="182">
        <v>41043</v>
      </c>
      <c r="AF25" s="183" t="s">
        <v>656</v>
      </c>
      <c r="AH25" s="19"/>
    </row>
    <row r="26" spans="2:34" ht="28.5" x14ac:dyDescent="0.45">
      <c r="B26" s="297" t="s">
        <v>515</v>
      </c>
      <c r="C26" s="298" t="s">
        <v>564</v>
      </c>
      <c r="E26" s="54" t="s">
        <v>80</v>
      </c>
      <c r="F26" s="53" t="s">
        <v>480</v>
      </c>
      <c r="H26" s="54" t="s">
        <v>460</v>
      </c>
      <c r="I26" s="53" t="s">
        <v>469</v>
      </c>
      <c r="K26" s="23" t="s">
        <v>662</v>
      </c>
      <c r="L26" s="26" t="s">
        <v>644</v>
      </c>
      <c r="M26" s="66" t="s">
        <v>460</v>
      </c>
      <c r="O26" s="611" t="s">
        <v>292</v>
      </c>
      <c r="P26" s="613" t="s">
        <v>324</v>
      </c>
      <c r="Q26" s="24"/>
      <c r="S26" s="618" t="s">
        <v>354</v>
      </c>
      <c r="T26" s="713" t="s">
        <v>955</v>
      </c>
      <c r="U26" s="24"/>
      <c r="W26" s="40" t="s">
        <v>453</v>
      </c>
      <c r="AE26" s="1012">
        <v>41072</v>
      </c>
      <c r="AF26" s="275" t="s">
        <v>663</v>
      </c>
      <c r="AH26" s="19"/>
    </row>
    <row r="27" spans="2:34" ht="28.5" x14ac:dyDescent="0.45">
      <c r="B27" s="297" t="s">
        <v>516</v>
      </c>
      <c r="C27" s="298" t="s">
        <v>565</v>
      </c>
      <c r="E27" s="54" t="s">
        <v>253</v>
      </c>
      <c r="F27" s="53" t="s">
        <v>487</v>
      </c>
      <c r="H27" s="54" t="s">
        <v>240</v>
      </c>
      <c r="I27" s="53" t="s">
        <v>606</v>
      </c>
      <c r="K27" s="23" t="s">
        <v>140</v>
      </c>
      <c r="L27" s="19" t="s">
        <v>141</v>
      </c>
      <c r="M27" s="24" t="s">
        <v>77</v>
      </c>
      <c r="O27" s="614" t="s">
        <v>876</v>
      </c>
      <c r="P27" s="612" t="s">
        <v>324</v>
      </c>
      <c r="Q27" s="24"/>
      <c r="S27" s="618" t="s">
        <v>406</v>
      </c>
      <c r="T27" s="713" t="s">
        <v>955</v>
      </c>
      <c r="U27" s="24"/>
      <c r="W27" s="40" t="s">
        <v>454</v>
      </c>
      <c r="AE27" s="1013"/>
      <c r="AF27" s="275" t="s">
        <v>664</v>
      </c>
      <c r="AH27" s="19"/>
    </row>
    <row r="28" spans="2:34" x14ac:dyDescent="0.45">
      <c r="B28" s="297" t="s">
        <v>517</v>
      </c>
      <c r="C28" s="298" t="s">
        <v>566</v>
      </c>
      <c r="E28" s="54" t="s">
        <v>255</v>
      </c>
      <c r="F28" s="53" t="s">
        <v>481</v>
      </c>
      <c r="H28" s="54" t="s">
        <v>238</v>
      </c>
      <c r="I28" s="53" t="s">
        <v>625</v>
      </c>
      <c r="K28" s="23" t="s">
        <v>186</v>
      </c>
      <c r="L28" s="19" t="s">
        <v>187</v>
      </c>
      <c r="M28" s="24" t="s">
        <v>263</v>
      </c>
      <c r="O28" s="611" t="s">
        <v>301</v>
      </c>
      <c r="P28" s="612" t="s">
        <v>324</v>
      </c>
      <c r="Q28" s="24"/>
      <c r="S28" s="618" t="s">
        <v>355</v>
      </c>
      <c r="T28" s="713" t="s">
        <v>955</v>
      </c>
      <c r="U28" s="24"/>
      <c r="W28" s="44" t="s">
        <v>455</v>
      </c>
      <c r="AE28" s="1014"/>
      <c r="AF28" s="276" t="s">
        <v>665</v>
      </c>
      <c r="AH28" s="19"/>
    </row>
    <row r="29" spans="2:34" ht="28.5" x14ac:dyDescent="0.45">
      <c r="B29" s="297" t="s">
        <v>518</v>
      </c>
      <c r="C29" s="298" t="s">
        <v>567</v>
      </c>
      <c r="E29" s="54" t="s">
        <v>70</v>
      </c>
      <c r="F29" s="53" t="s">
        <v>71</v>
      </c>
      <c r="H29" s="54" t="s">
        <v>263</v>
      </c>
      <c r="I29" s="53" t="s">
        <v>626</v>
      </c>
      <c r="K29" s="23" t="s">
        <v>142</v>
      </c>
      <c r="L29" s="19" t="s">
        <v>143</v>
      </c>
      <c r="M29" s="24" t="s">
        <v>267</v>
      </c>
      <c r="O29" s="611" t="s">
        <v>870</v>
      </c>
      <c r="P29" s="612" t="s">
        <v>324</v>
      </c>
      <c r="Q29" s="24"/>
      <c r="S29" s="619" t="s">
        <v>436</v>
      </c>
      <c r="T29" s="713" t="s">
        <v>955</v>
      </c>
      <c r="U29" s="24"/>
      <c r="AE29" s="1012">
        <v>41096</v>
      </c>
      <c r="AF29" s="276" t="s">
        <v>678</v>
      </c>
      <c r="AH29" s="19"/>
    </row>
    <row r="30" spans="2:34" x14ac:dyDescent="0.45">
      <c r="B30" s="297" t="s">
        <v>519</v>
      </c>
      <c r="C30" s="298" t="s">
        <v>568</v>
      </c>
      <c r="E30" s="54" t="s">
        <v>258</v>
      </c>
      <c r="F30" s="53" t="s">
        <v>470</v>
      </c>
      <c r="H30" s="54" t="s">
        <v>251</v>
      </c>
      <c r="I30" s="53" t="s">
        <v>607</v>
      </c>
      <c r="K30" s="23" t="s">
        <v>144</v>
      </c>
      <c r="L30" s="19" t="s">
        <v>145</v>
      </c>
      <c r="M30" s="24" t="s">
        <v>45</v>
      </c>
      <c r="O30" s="611" t="s">
        <v>304</v>
      </c>
      <c r="P30" s="612" t="s">
        <v>324</v>
      </c>
      <c r="Q30" s="24"/>
      <c r="S30" s="618" t="s">
        <v>437</v>
      </c>
      <c r="T30" s="713" t="s">
        <v>955</v>
      </c>
      <c r="U30" s="24"/>
      <c r="AE30" s="1013"/>
      <c r="AF30" s="276" t="s">
        <v>668</v>
      </c>
      <c r="AH30" s="19"/>
    </row>
    <row r="31" spans="2:34" ht="15" customHeight="1" x14ac:dyDescent="0.45">
      <c r="B31" s="297" t="s">
        <v>520</v>
      </c>
      <c r="C31" s="298" t="s">
        <v>569</v>
      </c>
      <c r="E31" s="54" t="s">
        <v>236</v>
      </c>
      <c r="F31" s="53" t="s">
        <v>482</v>
      </c>
      <c r="H31" s="54" t="s">
        <v>77</v>
      </c>
      <c r="I31" s="53" t="s">
        <v>627</v>
      </c>
      <c r="K31" s="23" t="s">
        <v>146</v>
      </c>
      <c r="L31" s="19" t="s">
        <v>147</v>
      </c>
      <c r="M31" s="24" t="s">
        <v>235</v>
      </c>
      <c r="O31" s="611" t="s">
        <v>305</v>
      </c>
      <c r="P31" s="612" t="s">
        <v>324</v>
      </c>
      <c r="Q31" s="36"/>
      <c r="S31" s="618" t="s">
        <v>438</v>
      </c>
      <c r="T31" s="713" t="s">
        <v>955</v>
      </c>
      <c r="U31" s="24"/>
      <c r="AE31" s="1013"/>
      <c r="AF31" s="276" t="s">
        <v>669</v>
      </c>
      <c r="AH31" s="19"/>
    </row>
    <row r="32" spans="2:34" ht="28.5" x14ac:dyDescent="0.45">
      <c r="B32" s="297" t="s">
        <v>521</v>
      </c>
      <c r="C32" s="298" t="s">
        <v>570</v>
      </c>
      <c r="E32" s="54" t="s">
        <v>239</v>
      </c>
      <c r="F32" s="53" t="s">
        <v>471</v>
      </c>
      <c r="H32" s="54" t="s">
        <v>267</v>
      </c>
      <c r="I32" s="53" t="s">
        <v>608</v>
      </c>
      <c r="K32" s="23" t="s">
        <v>138</v>
      </c>
      <c r="L32" s="19" t="s">
        <v>139</v>
      </c>
      <c r="M32" s="24" t="s">
        <v>251</v>
      </c>
      <c r="O32" s="611" t="s">
        <v>306</v>
      </c>
      <c r="P32" s="612" t="s">
        <v>324</v>
      </c>
      <c r="Q32" s="24"/>
      <c r="S32" s="618" t="s">
        <v>356</v>
      </c>
      <c r="T32" s="713" t="s">
        <v>955</v>
      </c>
      <c r="U32" s="24"/>
      <c r="AE32" s="1013"/>
      <c r="AF32" s="276" t="s">
        <v>670</v>
      </c>
      <c r="AH32" s="19"/>
    </row>
    <row r="33" spans="2:34" x14ac:dyDescent="0.45">
      <c r="B33" s="297" t="s">
        <v>522</v>
      </c>
      <c r="C33" s="298" t="s">
        <v>571</v>
      </c>
      <c r="E33" s="54" t="s">
        <v>85</v>
      </c>
      <c r="F33" s="53" t="s">
        <v>483</v>
      </c>
      <c r="H33" s="54" t="s">
        <v>235</v>
      </c>
      <c r="I33" s="53" t="s">
        <v>609</v>
      </c>
      <c r="K33" s="23" t="s">
        <v>136</v>
      </c>
      <c r="L33" s="19" t="s">
        <v>137</v>
      </c>
      <c r="M33" s="24" t="s">
        <v>45</v>
      </c>
      <c r="O33" s="614" t="s">
        <v>875</v>
      </c>
      <c r="P33" s="612" t="s">
        <v>324</v>
      </c>
      <c r="Q33" s="66"/>
      <c r="S33" s="618" t="s">
        <v>357</v>
      </c>
      <c r="T33" s="713" t="s">
        <v>955</v>
      </c>
      <c r="U33" s="24"/>
      <c r="AE33" s="1013"/>
      <c r="AF33" s="276" t="s">
        <v>671</v>
      </c>
      <c r="AH33" s="19"/>
    </row>
    <row r="34" spans="2:34" ht="28.5" x14ac:dyDescent="0.45">
      <c r="B34" s="297" t="s">
        <v>523</v>
      </c>
      <c r="C34" s="298" t="s">
        <v>572</v>
      </c>
      <c r="E34" s="54" t="s">
        <v>247</v>
      </c>
      <c r="F34" s="53" t="s">
        <v>472</v>
      </c>
      <c r="H34" s="54" t="s">
        <v>81</v>
      </c>
      <c r="I34" s="53" t="s">
        <v>628</v>
      </c>
      <c r="K34" s="23" t="s">
        <v>148</v>
      </c>
      <c r="L34" s="19" t="s">
        <v>149</v>
      </c>
      <c r="M34" s="24" t="s">
        <v>81</v>
      </c>
      <c r="O34" s="611" t="s">
        <v>426</v>
      </c>
      <c r="P34" s="612" t="s">
        <v>324</v>
      </c>
      <c r="Q34" s="66"/>
      <c r="S34" s="619" t="s">
        <v>439</v>
      </c>
      <c r="T34" s="713" t="s">
        <v>955</v>
      </c>
      <c r="U34" s="24"/>
      <c r="AE34" s="1013"/>
      <c r="AF34" s="276" t="s">
        <v>672</v>
      </c>
      <c r="AH34" s="19"/>
    </row>
    <row r="35" spans="2:34" ht="28.5" x14ac:dyDescent="0.45">
      <c r="B35" s="297" t="s">
        <v>524</v>
      </c>
      <c r="C35" s="298" t="s">
        <v>573</v>
      </c>
      <c r="E35" s="54" t="s">
        <v>72</v>
      </c>
      <c r="F35" s="53" t="s">
        <v>73</v>
      </c>
      <c r="H35" s="54" t="s">
        <v>262</v>
      </c>
      <c r="I35" s="53" t="s">
        <v>610</v>
      </c>
      <c r="K35" s="23" t="s">
        <v>261</v>
      </c>
      <c r="L35" s="19" t="s">
        <v>278</v>
      </c>
      <c r="M35" s="24" t="s">
        <v>262</v>
      </c>
      <c r="O35" s="611" t="s">
        <v>307</v>
      </c>
      <c r="P35" s="612" t="s">
        <v>324</v>
      </c>
      <c r="Q35" s="24"/>
      <c r="S35" s="619" t="s">
        <v>839</v>
      </c>
      <c r="T35" s="713" t="s">
        <v>955</v>
      </c>
      <c r="U35" s="24"/>
      <c r="AE35" s="1013"/>
      <c r="AF35" s="276" t="s">
        <v>673</v>
      </c>
      <c r="AH35" s="19"/>
    </row>
    <row r="36" spans="2:34" x14ac:dyDescent="0.45">
      <c r="B36" s="297" t="s">
        <v>525</v>
      </c>
      <c r="C36" s="298" t="s">
        <v>574</v>
      </c>
      <c r="E36" s="54" t="s">
        <v>257</v>
      </c>
      <c r="F36" s="53" t="s">
        <v>484</v>
      </c>
      <c r="H36" s="54" t="s">
        <v>80</v>
      </c>
      <c r="I36" s="53" t="s">
        <v>629</v>
      </c>
      <c r="K36" s="23" t="s">
        <v>104</v>
      </c>
      <c r="L36" s="19" t="s">
        <v>105</v>
      </c>
      <c r="M36" s="24" t="s">
        <v>62</v>
      </c>
      <c r="O36" s="611" t="s">
        <v>427</v>
      </c>
      <c r="P36" s="612" t="s">
        <v>324</v>
      </c>
      <c r="Q36" s="24"/>
      <c r="S36" s="618" t="s">
        <v>440</v>
      </c>
      <c r="T36" s="713" t="s">
        <v>955</v>
      </c>
      <c r="U36" s="24"/>
      <c r="AE36" s="1013"/>
      <c r="AF36" s="276" t="s">
        <v>674</v>
      </c>
      <c r="AH36" s="19"/>
    </row>
    <row r="37" spans="2:34" ht="28.5" x14ac:dyDescent="0.45">
      <c r="B37" s="297" t="s">
        <v>526</v>
      </c>
      <c r="C37" s="298" t="s">
        <v>575</v>
      </c>
      <c r="E37" s="54" t="s">
        <v>259</v>
      </c>
      <c r="F37" s="53" t="s">
        <v>485</v>
      </c>
      <c r="H37" s="54" t="s">
        <v>243</v>
      </c>
      <c r="I37" s="53" t="s">
        <v>611</v>
      </c>
      <c r="K37" s="23" t="s">
        <v>134</v>
      </c>
      <c r="L37" s="19" t="s">
        <v>135</v>
      </c>
      <c r="M37" s="24" t="s">
        <v>240</v>
      </c>
      <c r="O37" s="611" t="s">
        <v>428</v>
      </c>
      <c r="P37" s="612" t="s">
        <v>324</v>
      </c>
      <c r="Q37" s="24"/>
      <c r="S37" s="618" t="s">
        <v>441</v>
      </c>
      <c r="T37" s="713" t="s">
        <v>955</v>
      </c>
      <c r="U37" s="24"/>
      <c r="AE37" s="1013"/>
      <c r="AF37" s="276" t="s">
        <v>675</v>
      </c>
      <c r="AH37" s="19"/>
    </row>
    <row r="38" spans="2:34" ht="28.5" x14ac:dyDescent="0.45">
      <c r="B38" s="297" t="s">
        <v>527</v>
      </c>
      <c r="C38" s="298" t="s">
        <v>575</v>
      </c>
      <c r="E38" s="54" t="s">
        <v>76</v>
      </c>
      <c r="F38" s="53" t="s">
        <v>491</v>
      </c>
      <c r="H38" s="54" t="s">
        <v>242</v>
      </c>
      <c r="I38" s="53" t="s">
        <v>612</v>
      </c>
      <c r="K38" s="23" t="s">
        <v>154</v>
      </c>
      <c r="L38" s="19" t="s">
        <v>155</v>
      </c>
      <c r="M38" s="24" t="s">
        <v>242</v>
      </c>
      <c r="O38" s="611" t="s">
        <v>296</v>
      </c>
      <c r="P38" s="612" t="s">
        <v>324</v>
      </c>
      <c r="Q38" s="24"/>
      <c r="S38" s="619" t="s">
        <v>442</v>
      </c>
      <c r="T38" s="713" t="s">
        <v>955</v>
      </c>
      <c r="U38" s="24"/>
      <c r="AE38" s="1013"/>
      <c r="AF38" s="276" t="s">
        <v>676</v>
      </c>
      <c r="AH38" s="19"/>
    </row>
    <row r="39" spans="2:34" ht="28.5" x14ac:dyDescent="0.45">
      <c r="B39" s="297" t="s">
        <v>528</v>
      </c>
      <c r="C39" s="298" t="s">
        <v>576</v>
      </c>
      <c r="E39" s="54" t="s">
        <v>264</v>
      </c>
      <c r="F39" s="53" t="s">
        <v>473</v>
      </c>
      <c r="H39" s="54" t="s">
        <v>252</v>
      </c>
      <c r="I39" s="53" t="s">
        <v>613</v>
      </c>
      <c r="K39" s="23" t="s">
        <v>244</v>
      </c>
      <c r="L39" s="19" t="s">
        <v>275</v>
      </c>
      <c r="M39" s="24" t="s">
        <v>74</v>
      </c>
      <c r="O39" s="611" t="s">
        <v>361</v>
      </c>
      <c r="P39" s="612" t="s">
        <v>324</v>
      </c>
      <c r="Q39" s="24"/>
      <c r="S39" s="618" t="s">
        <v>443</v>
      </c>
      <c r="T39" s="713" t="s">
        <v>955</v>
      </c>
      <c r="U39" s="24"/>
      <c r="AE39" s="1014"/>
      <c r="AF39" s="275" t="s">
        <v>677</v>
      </c>
      <c r="AH39" s="19"/>
    </row>
    <row r="40" spans="2:34" x14ac:dyDescent="0.45">
      <c r="B40" s="297" t="s">
        <v>529</v>
      </c>
      <c r="C40" s="298" t="s">
        <v>577</v>
      </c>
      <c r="E40" s="47" t="s">
        <v>69</v>
      </c>
      <c r="F40" s="55" t="s">
        <v>488</v>
      </c>
      <c r="H40" s="54" t="s">
        <v>269</v>
      </c>
      <c r="I40" s="53" t="s">
        <v>614</v>
      </c>
      <c r="K40" s="23" t="s">
        <v>152</v>
      </c>
      <c r="L40" s="19" t="s">
        <v>153</v>
      </c>
      <c r="M40" s="24" t="s">
        <v>243</v>
      </c>
      <c r="O40" s="611" t="s">
        <v>297</v>
      </c>
      <c r="P40" s="612" t="s">
        <v>324</v>
      </c>
      <c r="Q40" s="24"/>
      <c r="S40" s="619" t="s">
        <v>358</v>
      </c>
      <c r="T40" s="713" t="s">
        <v>955</v>
      </c>
      <c r="U40" s="66"/>
      <c r="AE40" s="715">
        <v>43432</v>
      </c>
      <c r="AF40" s="275" t="s">
        <v>957</v>
      </c>
      <c r="AH40" s="19"/>
    </row>
    <row r="41" spans="2:34" ht="14.65" thickBot="1" x14ac:dyDescent="0.5">
      <c r="B41" s="297" t="s">
        <v>530</v>
      </c>
      <c r="C41" s="298" t="s">
        <v>578</v>
      </c>
      <c r="H41" s="54" t="s">
        <v>268</v>
      </c>
      <c r="I41" s="53" t="s">
        <v>615</v>
      </c>
      <c r="K41" s="23" t="s">
        <v>150</v>
      </c>
      <c r="L41" s="19" t="s">
        <v>151</v>
      </c>
      <c r="M41" s="24" t="s">
        <v>45</v>
      </c>
      <c r="O41" s="611" t="s">
        <v>295</v>
      </c>
      <c r="P41" s="612" t="s">
        <v>324</v>
      </c>
      <c r="Q41" s="24"/>
      <c r="S41" s="621" t="s">
        <v>359</v>
      </c>
      <c r="T41" s="714" t="s">
        <v>955</v>
      </c>
      <c r="U41" s="18"/>
      <c r="AE41" s="57"/>
      <c r="AF41" s="275"/>
      <c r="AH41" s="19"/>
    </row>
    <row r="42" spans="2:34" x14ac:dyDescent="0.45">
      <c r="B42" s="297" t="s">
        <v>531</v>
      </c>
      <c r="C42" s="298" t="s">
        <v>579</v>
      </c>
      <c r="H42" s="54" t="s">
        <v>253</v>
      </c>
      <c r="I42" s="53" t="s">
        <v>487</v>
      </c>
      <c r="K42" s="23" t="s">
        <v>160</v>
      </c>
      <c r="L42" s="19" t="s">
        <v>161</v>
      </c>
      <c r="M42" s="24" t="s">
        <v>255</v>
      </c>
      <c r="O42" s="611" t="s">
        <v>298</v>
      </c>
      <c r="P42" s="612" t="s">
        <v>324</v>
      </c>
      <c r="Q42" s="66"/>
      <c r="T42" s="19"/>
      <c r="U42" s="19"/>
      <c r="AH42" s="19"/>
    </row>
    <row r="43" spans="2:34" x14ac:dyDescent="0.45">
      <c r="B43" s="297" t="s">
        <v>532</v>
      </c>
      <c r="C43" s="298" t="s">
        <v>580</v>
      </c>
      <c r="H43" s="54" t="s">
        <v>255</v>
      </c>
      <c r="I43" s="53" t="s">
        <v>630</v>
      </c>
      <c r="K43" s="23" t="s">
        <v>156</v>
      </c>
      <c r="L43" s="19" t="s">
        <v>157</v>
      </c>
      <c r="M43" s="24" t="s">
        <v>45</v>
      </c>
      <c r="O43" s="611" t="s">
        <v>362</v>
      </c>
      <c r="P43" s="612" t="s">
        <v>324</v>
      </c>
      <c r="Q43" s="66"/>
      <c r="AH43" s="19"/>
    </row>
    <row r="44" spans="2:34" x14ac:dyDescent="0.45">
      <c r="B44" s="297" t="s">
        <v>533</v>
      </c>
      <c r="C44" s="298" t="s">
        <v>581</v>
      </c>
      <c r="H44" s="54" t="s">
        <v>70</v>
      </c>
      <c r="I44" s="53" t="s">
        <v>71</v>
      </c>
      <c r="K44" s="23" t="s">
        <v>158</v>
      </c>
      <c r="L44" s="19" t="s">
        <v>159</v>
      </c>
      <c r="M44" s="24" t="s">
        <v>252</v>
      </c>
      <c r="O44" s="611" t="s">
        <v>871</v>
      </c>
      <c r="P44" s="612" t="s">
        <v>324</v>
      </c>
      <c r="Q44" s="24"/>
      <c r="AH44" s="19"/>
    </row>
    <row r="45" spans="2:34" x14ac:dyDescent="0.45">
      <c r="B45" s="297" t="s">
        <v>534</v>
      </c>
      <c r="C45" s="298" t="s">
        <v>582</v>
      </c>
      <c r="H45" s="54" t="s">
        <v>82</v>
      </c>
      <c r="I45" s="53" t="s">
        <v>616</v>
      </c>
      <c r="K45" s="23" t="s">
        <v>166</v>
      </c>
      <c r="L45" s="19" t="s">
        <v>167</v>
      </c>
      <c r="M45" s="24" t="s">
        <v>268</v>
      </c>
      <c r="O45" s="611" t="s">
        <v>429</v>
      </c>
      <c r="P45" s="612" t="s">
        <v>324</v>
      </c>
      <c r="Q45" s="24"/>
      <c r="AH45" s="19"/>
    </row>
    <row r="46" spans="2:34" x14ac:dyDescent="0.45">
      <c r="B46" s="297" t="s">
        <v>535</v>
      </c>
      <c r="C46" s="298" t="s">
        <v>583</v>
      </c>
      <c r="H46" s="54" t="s">
        <v>258</v>
      </c>
      <c r="I46" s="53" t="s">
        <v>470</v>
      </c>
      <c r="K46" s="23" t="s">
        <v>164</v>
      </c>
      <c r="L46" s="19" t="s">
        <v>165</v>
      </c>
      <c r="M46" s="24" t="s">
        <v>253</v>
      </c>
      <c r="O46" s="611" t="s">
        <v>308</v>
      </c>
      <c r="P46" s="612" t="s">
        <v>324</v>
      </c>
      <c r="Q46" s="24"/>
      <c r="AH46" s="19"/>
    </row>
    <row r="47" spans="2:34" x14ac:dyDescent="0.45">
      <c r="B47" s="297" t="s">
        <v>536</v>
      </c>
      <c r="C47" s="298" t="s">
        <v>584</v>
      </c>
      <c r="H47" s="54" t="s">
        <v>270</v>
      </c>
      <c r="I47" s="53" t="s">
        <v>617</v>
      </c>
      <c r="K47" s="23" t="s">
        <v>162</v>
      </c>
      <c r="L47" s="19" t="s">
        <v>163</v>
      </c>
      <c r="M47" s="24" t="s">
        <v>269</v>
      </c>
      <c r="O47" s="611" t="s">
        <v>404</v>
      </c>
      <c r="P47" s="612" t="s">
        <v>324</v>
      </c>
      <c r="Q47" s="43"/>
      <c r="AH47" s="19"/>
    </row>
    <row r="48" spans="2:34" ht="14.65" thickBot="1" x14ac:dyDescent="0.5">
      <c r="B48" s="297" t="s">
        <v>537</v>
      </c>
      <c r="C48" s="298" t="s">
        <v>585</v>
      </c>
      <c r="H48" s="54" t="s">
        <v>236</v>
      </c>
      <c r="I48" s="53" t="s">
        <v>631</v>
      </c>
      <c r="K48" s="23" t="s">
        <v>233</v>
      </c>
      <c r="L48" s="19" t="s">
        <v>276</v>
      </c>
      <c r="M48" s="24" t="s">
        <v>45</v>
      </c>
      <c r="O48" s="615" t="s">
        <v>300</v>
      </c>
      <c r="P48" s="616" t="s">
        <v>324</v>
      </c>
      <c r="Q48" s="19"/>
      <c r="AH48" s="19"/>
    </row>
    <row r="49" spans="2:34" x14ac:dyDescent="0.45">
      <c r="B49" s="297" t="s">
        <v>538</v>
      </c>
      <c r="C49" s="298" t="s">
        <v>586</v>
      </c>
      <c r="H49" s="54" t="s">
        <v>239</v>
      </c>
      <c r="I49" s="53" t="s">
        <v>632</v>
      </c>
      <c r="K49" s="23" t="s">
        <v>168</v>
      </c>
      <c r="L49" s="19" t="s">
        <v>169</v>
      </c>
      <c r="M49" s="24" t="s">
        <v>45</v>
      </c>
      <c r="O49" s="608"/>
      <c r="P49" s="26"/>
      <c r="AH49" s="19"/>
    </row>
    <row r="50" spans="2:34" x14ac:dyDescent="0.45">
      <c r="B50" s="297" t="s">
        <v>539</v>
      </c>
      <c r="C50" s="298" t="s">
        <v>587</v>
      </c>
      <c r="H50" s="54" t="s">
        <v>241</v>
      </c>
      <c r="I50" s="53" t="s">
        <v>618</v>
      </c>
      <c r="K50" s="23" t="s">
        <v>174</v>
      </c>
      <c r="L50" s="19" t="s">
        <v>175</v>
      </c>
      <c r="M50" s="24" t="s">
        <v>82</v>
      </c>
      <c r="O50" s="19"/>
      <c r="P50" s="26"/>
      <c r="AH50" s="19"/>
    </row>
    <row r="51" spans="2:34" x14ac:dyDescent="0.45">
      <c r="B51" s="297" t="s">
        <v>540</v>
      </c>
      <c r="C51" s="298" t="s">
        <v>588</v>
      </c>
      <c r="H51" s="54" t="s">
        <v>85</v>
      </c>
      <c r="I51" s="53" t="s">
        <v>633</v>
      </c>
      <c r="K51" s="23" t="s">
        <v>172</v>
      </c>
      <c r="L51" s="19" t="s">
        <v>173</v>
      </c>
      <c r="M51" s="24" t="s">
        <v>45</v>
      </c>
      <c r="AH51" s="19"/>
    </row>
    <row r="52" spans="2:34" x14ac:dyDescent="0.45">
      <c r="B52" s="297" t="s">
        <v>541</v>
      </c>
      <c r="C52" s="298" t="s">
        <v>589</v>
      </c>
      <c r="H52" s="54" t="s">
        <v>247</v>
      </c>
      <c r="I52" s="53" t="s">
        <v>634</v>
      </c>
      <c r="K52" s="23" t="s">
        <v>170</v>
      </c>
      <c r="L52" s="19" t="s">
        <v>171</v>
      </c>
      <c r="M52" s="24" t="s">
        <v>234</v>
      </c>
      <c r="AH52" s="19"/>
    </row>
    <row r="53" spans="2:34" x14ac:dyDescent="0.45">
      <c r="B53" s="297" t="s">
        <v>542</v>
      </c>
      <c r="C53" s="298" t="s">
        <v>590</v>
      </c>
      <c r="H53" s="54" t="s">
        <v>72</v>
      </c>
      <c r="I53" s="53" t="s">
        <v>73</v>
      </c>
      <c r="K53" s="23" t="s">
        <v>659</v>
      </c>
      <c r="L53" s="26" t="s">
        <v>660</v>
      </c>
      <c r="M53" s="66" t="s">
        <v>661</v>
      </c>
      <c r="AH53" s="19"/>
    </row>
    <row r="54" spans="2:34" x14ac:dyDescent="0.45">
      <c r="B54" s="297" t="s">
        <v>543</v>
      </c>
      <c r="C54" s="298" t="s">
        <v>591</v>
      </c>
      <c r="H54" s="54" t="s">
        <v>257</v>
      </c>
      <c r="I54" s="53" t="s">
        <v>484</v>
      </c>
      <c r="K54" s="23" t="s">
        <v>86</v>
      </c>
      <c r="L54" s="19" t="s">
        <v>87</v>
      </c>
      <c r="M54" s="24" t="s">
        <v>45</v>
      </c>
      <c r="O54" s="26"/>
      <c r="P54" s="26"/>
      <c r="AH54" s="19"/>
    </row>
    <row r="55" spans="2:34" x14ac:dyDescent="0.45">
      <c r="B55" s="297" t="s">
        <v>544</v>
      </c>
      <c r="C55" s="298" t="s">
        <v>592</v>
      </c>
      <c r="H55" s="54" t="s">
        <v>259</v>
      </c>
      <c r="I55" s="53" t="s">
        <v>635</v>
      </c>
      <c r="K55" s="23" t="s">
        <v>178</v>
      </c>
      <c r="L55" s="19" t="s">
        <v>179</v>
      </c>
      <c r="M55" s="24" t="s">
        <v>270</v>
      </c>
      <c r="AH55" s="19"/>
    </row>
    <row r="56" spans="2:34" x14ac:dyDescent="0.45">
      <c r="B56" s="297" t="s">
        <v>666</v>
      </c>
      <c r="C56" s="298" t="s">
        <v>667</v>
      </c>
      <c r="H56" s="54" t="s">
        <v>254</v>
      </c>
      <c r="I56" s="53" t="s">
        <v>619</v>
      </c>
      <c r="K56" s="23" t="s">
        <v>194</v>
      </c>
      <c r="L56" s="19" t="s">
        <v>195</v>
      </c>
      <c r="M56" s="24" t="s">
        <v>258</v>
      </c>
      <c r="AH56" s="19"/>
    </row>
    <row r="57" spans="2:34" x14ac:dyDescent="0.45">
      <c r="B57" s="299" t="s">
        <v>545</v>
      </c>
      <c r="C57" s="300" t="s">
        <v>593</v>
      </c>
      <c r="H57" s="54" t="s">
        <v>76</v>
      </c>
      <c r="I57" s="53" t="s">
        <v>491</v>
      </c>
      <c r="K57" s="23" t="s">
        <v>180</v>
      </c>
      <c r="L57" s="19" t="s">
        <v>181</v>
      </c>
      <c r="M57" s="24" t="s">
        <v>236</v>
      </c>
      <c r="AH57" s="19"/>
    </row>
    <row r="58" spans="2:34" x14ac:dyDescent="0.45">
      <c r="H58" s="54" t="s">
        <v>264</v>
      </c>
      <c r="I58" s="53" t="s">
        <v>473</v>
      </c>
      <c r="K58" s="23" t="s">
        <v>176</v>
      </c>
      <c r="L58" s="19" t="s">
        <v>177</v>
      </c>
      <c r="M58" s="24" t="s">
        <v>45</v>
      </c>
      <c r="AH58" s="19"/>
    </row>
    <row r="59" spans="2:34" x14ac:dyDescent="0.45">
      <c r="H59" s="54" t="s">
        <v>245</v>
      </c>
      <c r="I59" s="53" t="s">
        <v>620</v>
      </c>
      <c r="K59" s="23" t="s">
        <v>188</v>
      </c>
      <c r="L59" s="19" t="s">
        <v>189</v>
      </c>
      <c r="M59" s="24" t="s">
        <v>239</v>
      </c>
      <c r="AH59" s="19"/>
    </row>
    <row r="60" spans="2:34" x14ac:dyDescent="0.45">
      <c r="B60" s="282"/>
      <c r="C60" s="282"/>
      <c r="D60" s="282"/>
      <c r="E60" s="282"/>
      <c r="F60" s="282"/>
      <c r="H60" s="54" t="s">
        <v>271</v>
      </c>
      <c r="I60" s="53" t="s">
        <v>621</v>
      </c>
      <c r="K60" s="23" t="s">
        <v>196</v>
      </c>
      <c r="L60" s="19" t="s">
        <v>197</v>
      </c>
      <c r="M60" s="24" t="s">
        <v>85</v>
      </c>
      <c r="AH60" s="19"/>
    </row>
    <row r="61" spans="2:34" x14ac:dyDescent="0.45">
      <c r="B61" s="282"/>
      <c r="C61" s="282"/>
      <c r="D61" s="282"/>
      <c r="E61" s="282"/>
      <c r="F61" s="282"/>
      <c r="H61" s="54" t="s">
        <v>248</v>
      </c>
      <c r="I61" s="53" t="s">
        <v>622</v>
      </c>
      <c r="K61" s="23" t="s">
        <v>246</v>
      </c>
      <c r="L61" s="19" t="s">
        <v>274</v>
      </c>
      <c r="M61" s="24" t="s">
        <v>247</v>
      </c>
      <c r="AH61" s="19"/>
    </row>
    <row r="62" spans="2:34" x14ac:dyDescent="0.45">
      <c r="B62" s="282"/>
      <c r="C62" s="282"/>
      <c r="D62" s="282"/>
      <c r="E62" s="282"/>
      <c r="F62" s="282"/>
      <c r="H62" s="54" t="s">
        <v>260</v>
      </c>
      <c r="I62" s="53" t="s">
        <v>623</v>
      </c>
      <c r="K62" s="23" t="s">
        <v>198</v>
      </c>
      <c r="L62" s="19" t="s">
        <v>199</v>
      </c>
      <c r="M62" s="24" t="s">
        <v>72</v>
      </c>
      <c r="AH62" s="19"/>
    </row>
    <row r="63" spans="2:34" x14ac:dyDescent="0.45">
      <c r="B63" s="282"/>
      <c r="C63" s="282"/>
      <c r="D63" s="282"/>
      <c r="E63" s="282"/>
      <c r="F63" s="282"/>
      <c r="H63" s="47" t="s">
        <v>69</v>
      </c>
      <c r="I63" s="55" t="s">
        <v>636</v>
      </c>
      <c r="K63" s="23" t="s">
        <v>106</v>
      </c>
      <c r="L63" s="19" t="s">
        <v>107</v>
      </c>
      <c r="M63" s="24" t="s">
        <v>74</v>
      </c>
      <c r="AH63" s="19"/>
    </row>
    <row r="64" spans="2:34" x14ac:dyDescent="0.45">
      <c r="B64" s="282"/>
      <c r="C64" s="282"/>
      <c r="D64" s="282"/>
      <c r="E64" s="282"/>
      <c r="F64" s="282"/>
      <c r="K64" s="23" t="s">
        <v>204</v>
      </c>
      <c r="L64" s="19" t="s">
        <v>205</v>
      </c>
      <c r="M64" s="24" t="s">
        <v>241</v>
      </c>
      <c r="AH64" s="19"/>
    </row>
    <row r="65" spans="2:34" x14ac:dyDescent="0.45">
      <c r="B65" s="282"/>
      <c r="C65" s="282"/>
      <c r="D65" s="282"/>
      <c r="E65" s="282"/>
      <c r="F65" s="282"/>
      <c r="K65" s="23" t="s">
        <v>256</v>
      </c>
      <c r="L65" s="19" t="s">
        <v>277</v>
      </c>
      <c r="M65" s="24" t="s">
        <v>257</v>
      </c>
      <c r="AH65" s="19"/>
    </row>
    <row r="66" spans="2:34" x14ac:dyDescent="0.45">
      <c r="B66" s="282"/>
      <c r="C66" s="282"/>
      <c r="D66" s="282"/>
      <c r="E66" s="282"/>
      <c r="F66" s="282"/>
      <c r="K66" s="23" t="s">
        <v>200</v>
      </c>
      <c r="L66" s="19" t="s">
        <v>201</v>
      </c>
      <c r="M66" s="24" t="s">
        <v>45</v>
      </c>
      <c r="AH66" s="19"/>
    </row>
    <row r="67" spans="2:34" x14ac:dyDescent="0.45">
      <c r="B67" s="282"/>
      <c r="C67" s="282"/>
      <c r="D67" s="282"/>
      <c r="E67" s="282"/>
      <c r="F67" s="282"/>
      <c r="K67" s="23" t="s">
        <v>202</v>
      </c>
      <c r="L67" s="19" t="s">
        <v>203</v>
      </c>
      <c r="M67" s="24" t="s">
        <v>45</v>
      </c>
      <c r="AH67" s="19"/>
    </row>
    <row r="68" spans="2:34" x14ac:dyDescent="0.45">
      <c r="B68" s="282"/>
      <c r="C68" s="282"/>
      <c r="D68" s="282"/>
      <c r="E68" s="282"/>
      <c r="F68" s="282"/>
      <c r="K68" s="23" t="s">
        <v>118</v>
      </c>
      <c r="L68" s="19" t="s">
        <v>119</v>
      </c>
      <c r="M68" s="24" t="s">
        <v>45</v>
      </c>
      <c r="AH68" s="19"/>
    </row>
    <row r="69" spans="2:34" x14ac:dyDescent="0.45">
      <c r="B69" s="282"/>
      <c r="C69" s="282"/>
      <c r="D69" s="282"/>
      <c r="E69" s="282"/>
      <c r="F69" s="282"/>
      <c r="K69" s="23" t="s">
        <v>217</v>
      </c>
      <c r="L69" s="19" t="s">
        <v>218</v>
      </c>
      <c r="M69" s="24" t="s">
        <v>69</v>
      </c>
      <c r="AH69" s="19"/>
    </row>
    <row r="70" spans="2:34" x14ac:dyDescent="0.45">
      <c r="B70" s="282"/>
      <c r="C70" s="282"/>
      <c r="D70" s="282"/>
      <c r="E70" s="282"/>
      <c r="F70" s="282"/>
      <c r="K70" s="23" t="s">
        <v>190</v>
      </c>
      <c r="L70" s="19" t="s">
        <v>191</v>
      </c>
      <c r="M70" s="24" t="s">
        <v>80</v>
      </c>
      <c r="AH70" s="19"/>
    </row>
    <row r="71" spans="2:34" x14ac:dyDescent="0.45">
      <c r="B71" s="282"/>
      <c r="C71" s="282"/>
      <c r="D71" s="282"/>
      <c r="E71" s="282"/>
      <c r="F71" s="282"/>
      <c r="K71" s="23" t="s">
        <v>184</v>
      </c>
      <c r="L71" s="19" t="s">
        <v>185</v>
      </c>
      <c r="M71" s="24" t="s">
        <v>264</v>
      </c>
      <c r="AH71" s="19"/>
    </row>
    <row r="72" spans="2:34" x14ac:dyDescent="0.45">
      <c r="B72" s="282"/>
      <c r="C72" s="282"/>
      <c r="D72" s="282"/>
      <c r="E72" s="282"/>
      <c r="F72" s="282"/>
      <c r="K72" s="23" t="s">
        <v>206</v>
      </c>
      <c r="L72" s="19" t="s">
        <v>207</v>
      </c>
      <c r="M72" s="24" t="s">
        <v>259</v>
      </c>
      <c r="AH72" s="19"/>
    </row>
    <row r="73" spans="2:34" x14ac:dyDescent="0.45">
      <c r="B73" s="282"/>
      <c r="C73" s="282"/>
      <c r="D73" s="282"/>
      <c r="E73" s="282"/>
      <c r="F73" s="282"/>
      <c r="K73" s="23" t="s">
        <v>112</v>
      </c>
      <c r="L73" s="19" t="s">
        <v>113</v>
      </c>
      <c r="M73" s="24" t="s">
        <v>237</v>
      </c>
      <c r="AH73" s="19"/>
    </row>
    <row r="74" spans="2:34" x14ac:dyDescent="0.45">
      <c r="B74" s="282"/>
      <c r="C74" s="282"/>
      <c r="D74" s="282"/>
      <c r="E74" s="282"/>
      <c r="F74" s="282"/>
      <c r="K74" s="23" t="s">
        <v>208</v>
      </c>
      <c r="L74" s="19" t="s">
        <v>209</v>
      </c>
      <c r="M74" s="24" t="s">
        <v>254</v>
      </c>
      <c r="AH74" s="19"/>
    </row>
    <row r="75" spans="2:34" x14ac:dyDescent="0.45">
      <c r="B75" s="282"/>
      <c r="C75" s="282"/>
      <c r="D75" s="282"/>
      <c r="E75" s="282"/>
      <c r="F75" s="282"/>
      <c r="K75" s="23" t="s">
        <v>210</v>
      </c>
      <c r="L75" s="19" t="s">
        <v>211</v>
      </c>
      <c r="M75" s="24" t="s">
        <v>76</v>
      </c>
      <c r="AH75" s="19"/>
    </row>
    <row r="76" spans="2:34" x14ac:dyDescent="0.45">
      <c r="B76" s="282"/>
      <c r="C76" s="282"/>
      <c r="D76" s="282"/>
      <c r="E76" s="282"/>
      <c r="F76" s="282"/>
      <c r="K76" s="23" t="s">
        <v>212</v>
      </c>
      <c r="L76" s="19" t="s">
        <v>213</v>
      </c>
      <c r="M76" s="24" t="s">
        <v>245</v>
      </c>
      <c r="AH76" s="19"/>
    </row>
    <row r="77" spans="2:34" x14ac:dyDescent="0.45">
      <c r="B77" s="282"/>
      <c r="C77" s="282"/>
      <c r="D77" s="282"/>
      <c r="E77" s="282"/>
      <c r="F77" s="282"/>
      <c r="K77" s="23" t="s">
        <v>132</v>
      </c>
      <c r="L77" s="19" t="s">
        <v>133</v>
      </c>
      <c r="M77" s="24" t="s">
        <v>238</v>
      </c>
      <c r="AH77" s="19"/>
    </row>
    <row r="78" spans="2:34" x14ac:dyDescent="0.45">
      <c r="B78" s="282"/>
      <c r="C78" s="282"/>
      <c r="D78" s="282"/>
      <c r="E78" s="282"/>
      <c r="F78" s="282"/>
      <c r="K78" s="23" t="s">
        <v>192</v>
      </c>
      <c r="L78" s="19" t="s">
        <v>193</v>
      </c>
      <c r="M78" s="24" t="s">
        <v>271</v>
      </c>
      <c r="AH78" s="19"/>
    </row>
    <row r="79" spans="2:34" x14ac:dyDescent="0.45">
      <c r="B79" s="282"/>
      <c r="C79" s="282"/>
      <c r="D79" s="282"/>
      <c r="E79" s="282"/>
      <c r="F79" s="282"/>
      <c r="K79" s="23" t="s">
        <v>214</v>
      </c>
      <c r="L79" s="19" t="s">
        <v>63</v>
      </c>
      <c r="M79" s="24" t="s">
        <v>65</v>
      </c>
      <c r="AH79" s="19"/>
    </row>
    <row r="80" spans="2:34" x14ac:dyDescent="0.45">
      <c r="B80" s="282"/>
      <c r="C80" s="282"/>
      <c r="D80" s="282"/>
      <c r="E80" s="282"/>
      <c r="F80" s="282"/>
      <c r="K80" s="23" t="s">
        <v>265</v>
      </c>
      <c r="L80" s="19" t="s">
        <v>266</v>
      </c>
      <c r="M80" s="24" t="s">
        <v>45</v>
      </c>
      <c r="AH80" s="19"/>
    </row>
    <row r="81" spans="2:13" x14ac:dyDescent="0.45">
      <c r="B81" s="282"/>
      <c r="C81" s="282"/>
      <c r="D81" s="282"/>
      <c r="E81" s="282"/>
      <c r="F81" s="282"/>
      <c r="K81" s="23" t="s">
        <v>232</v>
      </c>
      <c r="L81" s="19" t="s">
        <v>273</v>
      </c>
      <c r="M81" s="24" t="s">
        <v>248</v>
      </c>
    </row>
    <row r="82" spans="2:13" x14ac:dyDescent="0.45">
      <c r="B82" s="282"/>
      <c r="C82" s="282"/>
      <c r="D82" s="282"/>
      <c r="E82" s="282"/>
      <c r="F82" s="282"/>
      <c r="K82" s="23" t="s">
        <v>215</v>
      </c>
      <c r="L82" s="19" t="s">
        <v>216</v>
      </c>
      <c r="M82" s="24" t="s">
        <v>260</v>
      </c>
    </row>
    <row r="83" spans="2:13" x14ac:dyDescent="0.45">
      <c r="B83" s="282"/>
      <c r="C83" s="282"/>
      <c r="D83" s="282"/>
      <c r="E83" s="282"/>
      <c r="F83" s="282"/>
      <c r="K83" s="23" t="s">
        <v>102</v>
      </c>
      <c r="L83" s="19" t="s">
        <v>103</v>
      </c>
      <c r="M83" s="24" t="s">
        <v>272</v>
      </c>
    </row>
    <row r="84" spans="2:13" x14ac:dyDescent="0.45">
      <c r="B84" s="282"/>
      <c r="C84" s="282"/>
      <c r="D84" s="282"/>
      <c r="E84" s="282"/>
      <c r="F84" s="282"/>
      <c r="K84" s="23" t="s">
        <v>220</v>
      </c>
      <c r="L84" s="19" t="s">
        <v>219</v>
      </c>
      <c r="M84" s="24"/>
    </row>
    <row r="85" spans="2:13" x14ac:dyDescent="0.45">
      <c r="B85" s="282"/>
      <c r="C85" s="282"/>
      <c r="D85" s="282"/>
      <c r="E85" s="282"/>
      <c r="F85" s="282"/>
      <c r="K85" s="23" t="s">
        <v>220</v>
      </c>
      <c r="L85" s="19" t="s">
        <v>221</v>
      </c>
      <c r="M85" s="24"/>
    </row>
    <row r="86" spans="2:13" x14ac:dyDescent="0.45">
      <c r="B86" s="282"/>
      <c r="C86" s="282"/>
      <c r="D86" s="282"/>
      <c r="E86" s="282"/>
      <c r="F86" s="282"/>
      <c r="K86" s="23" t="s">
        <v>220</v>
      </c>
      <c r="L86" s="19" t="s">
        <v>222</v>
      </c>
      <c r="M86" s="24"/>
    </row>
    <row r="87" spans="2:13" x14ac:dyDescent="0.45">
      <c r="B87" s="282"/>
      <c r="C87" s="282"/>
      <c r="D87" s="282"/>
      <c r="E87" s="282"/>
      <c r="F87" s="282"/>
      <c r="K87" s="16" t="s">
        <v>110</v>
      </c>
      <c r="L87" s="17" t="s">
        <v>111</v>
      </c>
      <c r="M87" s="18" t="s">
        <v>45</v>
      </c>
    </row>
    <row r="88" spans="2:13" x14ac:dyDescent="0.45">
      <c r="B88" s="282"/>
      <c r="C88" s="282"/>
      <c r="D88" s="282"/>
      <c r="E88" s="282"/>
      <c r="F88" s="282"/>
    </row>
    <row r="89" spans="2:13" x14ac:dyDescent="0.45">
      <c r="B89" s="282"/>
      <c r="C89" s="282"/>
      <c r="D89" s="282"/>
      <c r="E89" s="282"/>
      <c r="F89" s="282"/>
    </row>
    <row r="90" spans="2:13" x14ac:dyDescent="0.45">
      <c r="B90" s="282"/>
      <c r="C90" s="282"/>
      <c r="D90" s="282"/>
      <c r="E90" s="282"/>
      <c r="F90" s="282"/>
    </row>
    <row r="91" spans="2:13" x14ac:dyDescent="0.45">
      <c r="B91" s="282"/>
      <c r="C91" s="282"/>
      <c r="D91" s="282"/>
      <c r="E91" s="282"/>
      <c r="F91" s="282"/>
    </row>
    <row r="92" spans="2:13" x14ac:dyDescent="0.45">
      <c r="B92" s="282"/>
      <c r="C92" s="282"/>
      <c r="D92" s="282"/>
      <c r="E92" s="282"/>
      <c r="F92" s="282"/>
    </row>
    <row r="93" spans="2:13" x14ac:dyDescent="0.45">
      <c r="B93" s="282"/>
      <c r="C93" s="282"/>
      <c r="D93" s="282"/>
      <c r="E93" s="282"/>
      <c r="F93" s="282"/>
    </row>
    <row r="94" spans="2:13" x14ac:dyDescent="0.45">
      <c r="B94" s="282"/>
      <c r="C94" s="282"/>
      <c r="D94" s="282"/>
      <c r="E94" s="282"/>
      <c r="F94" s="282"/>
    </row>
    <row r="95" spans="2:13" x14ac:dyDescent="0.45">
      <c r="B95" s="282"/>
      <c r="C95" s="282"/>
      <c r="D95" s="282"/>
      <c r="E95" s="282"/>
      <c r="F95" s="282"/>
    </row>
    <row r="96" spans="2:13" x14ac:dyDescent="0.45">
      <c r="B96" s="282"/>
      <c r="C96" s="282"/>
      <c r="D96" s="282"/>
      <c r="E96" s="282"/>
      <c r="F96" s="282"/>
    </row>
    <row r="97" spans="2:6" x14ac:dyDescent="0.45">
      <c r="B97" s="282"/>
      <c r="C97" s="282"/>
      <c r="D97" s="282"/>
      <c r="E97" s="282"/>
      <c r="F97" s="282"/>
    </row>
    <row r="98" spans="2:6" x14ac:dyDescent="0.45">
      <c r="B98" s="282"/>
      <c r="C98" s="282"/>
      <c r="D98" s="282"/>
      <c r="E98" s="282"/>
      <c r="F98" s="282"/>
    </row>
    <row r="99" spans="2:6" x14ac:dyDescent="0.45">
      <c r="B99" s="282"/>
      <c r="C99" s="282"/>
      <c r="D99" s="282"/>
      <c r="E99" s="282"/>
      <c r="F99" s="282"/>
    </row>
    <row r="100" spans="2:6" x14ac:dyDescent="0.45">
      <c r="B100" s="282"/>
      <c r="C100" s="282"/>
      <c r="D100" s="282"/>
      <c r="E100" s="282"/>
      <c r="F100" s="282"/>
    </row>
    <row r="101" spans="2:6" x14ac:dyDescent="0.45">
      <c r="B101" s="282"/>
      <c r="C101" s="282"/>
      <c r="D101" s="282"/>
      <c r="E101" s="282"/>
      <c r="F101" s="282"/>
    </row>
    <row r="102" spans="2:6" x14ac:dyDescent="0.45">
      <c r="B102" s="282"/>
      <c r="C102" s="282"/>
      <c r="D102" s="282"/>
      <c r="E102" s="282"/>
      <c r="F102" s="282"/>
    </row>
    <row r="103" spans="2:6" x14ac:dyDescent="0.45">
      <c r="B103" s="282"/>
      <c r="C103" s="282"/>
      <c r="D103" s="282"/>
      <c r="E103" s="282"/>
      <c r="F103" s="282"/>
    </row>
    <row r="104" spans="2:6" x14ac:dyDescent="0.45">
      <c r="B104" s="282"/>
      <c r="C104" s="282"/>
      <c r="D104" s="282"/>
      <c r="E104" s="282"/>
      <c r="F104" s="282"/>
    </row>
    <row r="105" spans="2:6" x14ac:dyDescent="0.45">
      <c r="B105" s="282"/>
      <c r="C105" s="282"/>
      <c r="D105" s="282"/>
      <c r="E105" s="282"/>
      <c r="F105" s="282"/>
    </row>
    <row r="106" spans="2:6" x14ac:dyDescent="0.45">
      <c r="B106" s="282"/>
      <c r="C106" s="282"/>
      <c r="D106" s="282"/>
      <c r="E106" s="282"/>
      <c r="F106" s="282"/>
    </row>
    <row r="107" spans="2:6" x14ac:dyDescent="0.45">
      <c r="B107" s="282"/>
      <c r="C107" s="282"/>
      <c r="D107" s="282"/>
      <c r="E107" s="282"/>
      <c r="F107" s="282"/>
    </row>
    <row r="108" spans="2:6" x14ac:dyDescent="0.45">
      <c r="B108" s="282"/>
      <c r="C108" s="282"/>
      <c r="D108" s="282"/>
      <c r="E108" s="282"/>
      <c r="F108" s="282"/>
    </row>
    <row r="109" spans="2:6" x14ac:dyDescent="0.45">
      <c r="B109" s="282"/>
      <c r="C109" s="282"/>
      <c r="D109" s="282"/>
      <c r="E109" s="282"/>
      <c r="F109" s="282"/>
    </row>
    <row r="110" spans="2:6" x14ac:dyDescent="0.45">
      <c r="B110" s="282"/>
      <c r="C110" s="282"/>
      <c r="D110" s="282"/>
      <c r="E110" s="282"/>
      <c r="F110" s="282"/>
    </row>
    <row r="111" spans="2:6" x14ac:dyDescent="0.45">
      <c r="B111" s="282"/>
      <c r="C111" s="282"/>
      <c r="D111" s="282"/>
      <c r="E111" s="282"/>
      <c r="F111" s="282"/>
    </row>
    <row r="112" spans="2:6" x14ac:dyDescent="0.45">
      <c r="B112" s="282"/>
      <c r="C112" s="282"/>
      <c r="D112" s="282"/>
      <c r="E112" s="282"/>
      <c r="F112" s="282"/>
    </row>
    <row r="113" spans="2:6" x14ac:dyDescent="0.45">
      <c r="B113" s="282"/>
      <c r="C113" s="282"/>
      <c r="D113" s="282"/>
      <c r="E113" s="282"/>
      <c r="F113" s="282"/>
    </row>
    <row r="114" spans="2:6" x14ac:dyDescent="0.45">
      <c r="B114" s="282"/>
      <c r="C114" s="282"/>
      <c r="D114" s="282"/>
      <c r="E114" s="282"/>
      <c r="F114" s="282"/>
    </row>
    <row r="115" spans="2:6" x14ac:dyDescent="0.45">
      <c r="B115" s="282"/>
      <c r="C115" s="282"/>
      <c r="D115" s="282"/>
      <c r="E115" s="282"/>
      <c r="F115" s="282"/>
    </row>
    <row r="116" spans="2:6" x14ac:dyDescent="0.45">
      <c r="B116" s="282"/>
      <c r="C116" s="282"/>
      <c r="D116" s="282"/>
      <c r="E116" s="282"/>
      <c r="F116" s="282"/>
    </row>
    <row r="117" spans="2:6" x14ac:dyDescent="0.45">
      <c r="B117" s="282"/>
      <c r="C117" s="282"/>
      <c r="D117" s="282"/>
      <c r="E117" s="282"/>
      <c r="F117" s="282"/>
    </row>
    <row r="118" spans="2:6" x14ac:dyDescent="0.45">
      <c r="B118" s="282"/>
      <c r="C118" s="282"/>
      <c r="D118" s="282"/>
      <c r="E118" s="282"/>
      <c r="F118" s="282"/>
    </row>
    <row r="119" spans="2:6" x14ac:dyDescent="0.45">
      <c r="B119" s="282"/>
      <c r="C119" s="282"/>
      <c r="D119" s="282"/>
      <c r="E119" s="282"/>
      <c r="F119" s="282"/>
    </row>
    <row r="120" spans="2:6" x14ac:dyDescent="0.45">
      <c r="B120" s="282"/>
      <c r="C120" s="282"/>
      <c r="D120" s="282"/>
      <c r="E120" s="282"/>
      <c r="F120" s="282"/>
    </row>
    <row r="121" spans="2:6" x14ac:dyDescent="0.45">
      <c r="B121" s="282"/>
      <c r="C121" s="282"/>
      <c r="D121" s="282"/>
      <c r="E121" s="282"/>
      <c r="F121" s="282"/>
    </row>
    <row r="122" spans="2:6" x14ac:dyDescent="0.45">
      <c r="B122" s="282"/>
      <c r="C122" s="282"/>
      <c r="D122" s="282"/>
      <c r="E122" s="282"/>
      <c r="F122" s="282"/>
    </row>
    <row r="123" spans="2:6" x14ac:dyDescent="0.45">
      <c r="B123" s="282"/>
      <c r="C123" s="282"/>
      <c r="D123" s="282"/>
      <c r="E123" s="282"/>
      <c r="F123" s="282"/>
    </row>
    <row r="124" spans="2:6" x14ac:dyDescent="0.45">
      <c r="B124" s="282"/>
      <c r="C124" s="282"/>
      <c r="D124" s="282"/>
      <c r="E124" s="282"/>
      <c r="F124" s="282"/>
    </row>
    <row r="125" spans="2:6" x14ac:dyDescent="0.45">
      <c r="B125" s="282"/>
      <c r="C125" s="282"/>
      <c r="D125" s="282"/>
      <c r="E125" s="282"/>
      <c r="F125" s="282"/>
    </row>
    <row r="126" spans="2:6" x14ac:dyDescent="0.45">
      <c r="B126" s="282"/>
      <c r="C126" s="282"/>
      <c r="D126" s="282"/>
      <c r="E126" s="282"/>
      <c r="F126" s="282"/>
    </row>
    <row r="127" spans="2:6" x14ac:dyDescent="0.45">
      <c r="B127" s="282"/>
      <c r="C127" s="282"/>
      <c r="D127" s="282"/>
      <c r="E127" s="282"/>
      <c r="F127" s="282"/>
    </row>
  </sheetData>
  <dataConsolidate/>
  <mergeCells count="3">
    <mergeCell ref="H6:I6"/>
    <mergeCell ref="AE26:AE28"/>
    <mergeCell ref="AE29:AE39"/>
  </mergeCells>
  <pageMargins left="0.39370078740157483" right="0.39370078740157483" top="0.39370078740157483" bottom="0.39370078740157483" header="0.31496062992125984" footer="0.31496062992125984"/>
  <pageSetup paperSize="9" scale="7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I102"/>
  <sheetViews>
    <sheetView topLeftCell="E4" zoomScale="80" zoomScaleNormal="80" workbookViewId="0">
      <selection activeCell="I42" sqref="I42"/>
    </sheetView>
  </sheetViews>
  <sheetFormatPr baseColWidth="10" defaultColWidth="11.46484375" defaultRowHeight="14.25" x14ac:dyDescent="0.45"/>
  <cols>
    <col min="1" max="1" width="43.796875" style="559" customWidth="1"/>
    <col min="2" max="2" width="41.796875" style="559" customWidth="1"/>
    <col min="3" max="3" width="11.46484375" style="559"/>
    <col min="4" max="4" width="77.53125" style="565" customWidth="1"/>
    <col min="5" max="5" width="11.46484375" style="566"/>
    <col min="6" max="6" width="11.46484375" style="559"/>
    <col min="7" max="7" width="42.46484375" style="559" customWidth="1"/>
    <col min="8" max="8" width="11.46484375" style="559"/>
    <col min="9" max="9" width="18" style="566" customWidth="1"/>
    <col min="10" max="16384" width="11.46484375" style="559"/>
  </cols>
  <sheetData>
    <row r="1" spans="1:9" ht="18" x14ac:dyDescent="0.55000000000000004">
      <c r="A1" s="556"/>
      <c r="B1" s="556"/>
      <c r="C1" s="556"/>
      <c r="D1" s="557"/>
      <c r="E1" s="556"/>
      <c r="F1" s="556"/>
      <c r="G1" s="556"/>
      <c r="H1" s="558"/>
      <c r="I1" s="601"/>
    </row>
    <row r="2" spans="1:9" ht="25.5" x14ac:dyDescent="0.45">
      <c r="A2" s="1015" t="s">
        <v>727</v>
      </c>
      <c r="B2" s="1015"/>
      <c r="C2" s="1015"/>
      <c r="D2" s="1015"/>
      <c r="E2" s="1015"/>
      <c r="G2" s="1015" t="s">
        <v>728</v>
      </c>
      <c r="H2" s="1015"/>
      <c r="I2" s="1015"/>
    </row>
    <row r="3" spans="1:9" ht="42.75" x14ac:dyDescent="0.45">
      <c r="A3" s="560" t="s">
        <v>774</v>
      </c>
      <c r="B3" s="560" t="s">
        <v>722</v>
      </c>
      <c r="C3" s="560" t="s">
        <v>723</v>
      </c>
      <c r="D3" s="561" t="s">
        <v>724</v>
      </c>
      <c r="E3" s="561" t="s">
        <v>725</v>
      </c>
      <c r="F3" s="562"/>
      <c r="G3" s="560" t="s">
        <v>722</v>
      </c>
      <c r="H3" s="600"/>
      <c r="I3" s="602" t="s">
        <v>874</v>
      </c>
    </row>
    <row r="4" spans="1:9" x14ac:dyDescent="0.45">
      <c r="A4" s="623" t="s">
        <v>780</v>
      </c>
      <c r="B4" s="624" t="s">
        <v>685</v>
      </c>
      <c r="C4" s="625" t="s">
        <v>497</v>
      </c>
      <c r="D4" s="630" t="s">
        <v>824</v>
      </c>
      <c r="E4" s="555"/>
      <c r="F4" s="562"/>
      <c r="G4" s="624" t="s">
        <v>685</v>
      </c>
      <c r="H4" s="600">
        <v>1</v>
      </c>
      <c r="I4" s="603"/>
    </row>
    <row r="5" spans="1:9" x14ac:dyDescent="0.45">
      <c r="A5" s="623" t="s">
        <v>679</v>
      </c>
      <c r="B5" s="624" t="s">
        <v>925</v>
      </c>
      <c r="C5" s="625" t="s">
        <v>705</v>
      </c>
      <c r="D5" s="630" t="s">
        <v>920</v>
      </c>
      <c r="E5" s="555"/>
      <c r="F5" s="562"/>
      <c r="G5" s="624" t="s">
        <v>925</v>
      </c>
      <c r="H5" s="600">
        <v>1</v>
      </c>
      <c r="I5" s="603"/>
    </row>
    <row r="6" spans="1:9" x14ac:dyDescent="0.45">
      <c r="A6" s="623" t="s">
        <v>926</v>
      </c>
      <c r="B6" s="624" t="s">
        <v>926</v>
      </c>
      <c r="C6" s="625" t="s">
        <v>927</v>
      </c>
      <c r="D6" s="630" t="s">
        <v>928</v>
      </c>
      <c r="E6" s="555"/>
      <c r="F6" s="562"/>
      <c r="G6" s="624" t="s">
        <v>926</v>
      </c>
      <c r="H6" s="600"/>
      <c r="I6" s="603"/>
    </row>
    <row r="7" spans="1:9" ht="27.75" x14ac:dyDescent="0.45">
      <c r="A7" s="623" t="s">
        <v>782</v>
      </c>
      <c r="B7" s="624" t="s">
        <v>686</v>
      </c>
      <c r="C7" s="625" t="s">
        <v>499</v>
      </c>
      <c r="D7" s="630" t="s">
        <v>825</v>
      </c>
      <c r="E7" s="555" t="s">
        <v>826</v>
      </c>
      <c r="F7" s="562"/>
      <c r="G7" s="624" t="s">
        <v>901</v>
      </c>
      <c r="H7" s="600">
        <v>1</v>
      </c>
      <c r="I7" s="603"/>
    </row>
    <row r="8" spans="1:9" ht="27.75" x14ac:dyDescent="0.45">
      <c r="A8" s="623" t="s">
        <v>781</v>
      </c>
      <c r="B8" s="624" t="s">
        <v>762</v>
      </c>
      <c r="C8" s="625" t="s">
        <v>498</v>
      </c>
      <c r="D8" s="630" t="s">
        <v>825</v>
      </c>
      <c r="E8" s="555" t="s">
        <v>826</v>
      </c>
      <c r="F8" s="562"/>
      <c r="G8" s="624" t="s">
        <v>898</v>
      </c>
      <c r="H8" s="600">
        <v>1</v>
      </c>
      <c r="I8" s="603"/>
    </row>
    <row r="9" spans="1:9" x14ac:dyDescent="0.45">
      <c r="A9" s="623" t="s">
        <v>900</v>
      </c>
      <c r="B9" s="624" t="s">
        <v>901</v>
      </c>
      <c r="C9" s="625" t="s">
        <v>902</v>
      </c>
      <c r="D9" s="622" t="s">
        <v>924</v>
      </c>
      <c r="E9" s="631"/>
      <c r="F9" s="562"/>
      <c r="G9" s="629" t="s">
        <v>893</v>
      </c>
      <c r="H9" s="600">
        <v>1</v>
      </c>
      <c r="I9" s="603"/>
    </row>
    <row r="10" spans="1:9" x14ac:dyDescent="0.45">
      <c r="A10" s="623" t="s">
        <v>897</v>
      </c>
      <c r="B10" s="624" t="s">
        <v>898</v>
      </c>
      <c r="C10" s="625" t="s">
        <v>899</v>
      </c>
      <c r="D10" s="622" t="s">
        <v>923</v>
      </c>
      <c r="E10" s="631"/>
      <c r="F10" s="562"/>
      <c r="G10" s="624" t="s">
        <v>895</v>
      </c>
      <c r="H10" s="600">
        <v>1</v>
      </c>
      <c r="I10" s="603"/>
    </row>
    <row r="11" spans="1:9" x14ac:dyDescent="0.45">
      <c r="A11" s="623" t="s">
        <v>892</v>
      </c>
      <c r="B11" s="624" t="s">
        <v>893</v>
      </c>
      <c r="C11" s="625" t="s">
        <v>500</v>
      </c>
      <c r="D11" s="630" t="s">
        <v>921</v>
      </c>
      <c r="E11" s="555"/>
      <c r="F11" s="562"/>
      <c r="G11" s="624" t="s">
        <v>690</v>
      </c>
      <c r="H11" s="600">
        <v>1</v>
      </c>
      <c r="I11" s="603"/>
    </row>
    <row r="12" spans="1:9" x14ac:dyDescent="0.45">
      <c r="A12" s="623" t="s">
        <v>894</v>
      </c>
      <c r="B12" s="624" t="s">
        <v>895</v>
      </c>
      <c r="C12" s="625" t="s">
        <v>896</v>
      </c>
      <c r="D12" s="622" t="s">
        <v>922</v>
      </c>
      <c r="E12" s="631"/>
      <c r="F12" s="562"/>
      <c r="G12" s="624" t="s">
        <v>682</v>
      </c>
      <c r="H12" s="600">
        <v>1</v>
      </c>
      <c r="I12" s="603"/>
    </row>
    <row r="13" spans="1:9" x14ac:dyDescent="0.45">
      <c r="A13" s="623" t="s">
        <v>800</v>
      </c>
      <c r="B13" s="624" t="s">
        <v>690</v>
      </c>
      <c r="C13" s="625" t="s">
        <v>518</v>
      </c>
      <c r="D13" s="630"/>
      <c r="E13" s="555"/>
      <c r="F13" s="562"/>
      <c r="G13" s="624" t="s">
        <v>696</v>
      </c>
      <c r="H13" s="600">
        <v>1</v>
      </c>
      <c r="I13" s="603"/>
    </row>
    <row r="14" spans="1:9" x14ac:dyDescent="0.45">
      <c r="A14" s="623" t="s">
        <v>776</v>
      </c>
      <c r="B14" s="624" t="s">
        <v>682</v>
      </c>
      <c r="C14" s="625" t="s">
        <v>708</v>
      </c>
      <c r="D14" s="630"/>
      <c r="E14" s="555"/>
      <c r="F14" s="562"/>
      <c r="G14" s="624" t="s">
        <v>702</v>
      </c>
      <c r="H14" s="600">
        <v>1</v>
      </c>
      <c r="I14" s="603"/>
    </row>
    <row r="15" spans="1:9" x14ac:dyDescent="0.45">
      <c r="A15" s="623" t="s">
        <v>696</v>
      </c>
      <c r="B15" s="624" t="s">
        <v>696</v>
      </c>
      <c r="C15" s="625" t="s">
        <v>716</v>
      </c>
      <c r="D15" s="630"/>
      <c r="E15" s="555"/>
      <c r="F15" s="562"/>
      <c r="G15" s="624" t="s">
        <v>703</v>
      </c>
      <c r="H15" s="600">
        <v>1</v>
      </c>
      <c r="I15" s="603"/>
    </row>
    <row r="16" spans="1:9" x14ac:dyDescent="0.45">
      <c r="A16" s="623" t="s">
        <v>702</v>
      </c>
      <c r="B16" s="624" t="s">
        <v>702</v>
      </c>
      <c r="C16" s="625" t="s">
        <v>530</v>
      </c>
      <c r="D16" s="630"/>
      <c r="E16" s="555"/>
      <c r="F16" s="562"/>
      <c r="G16" s="628" t="s">
        <v>879</v>
      </c>
      <c r="H16" s="600">
        <v>1</v>
      </c>
      <c r="I16" s="603"/>
    </row>
    <row r="17" spans="1:9" x14ac:dyDescent="0.45">
      <c r="A17" s="623" t="s">
        <v>811</v>
      </c>
      <c r="B17" s="624" t="s">
        <v>703</v>
      </c>
      <c r="C17" s="625" t="s">
        <v>721</v>
      </c>
      <c r="D17" s="630"/>
      <c r="E17" s="555"/>
      <c r="F17" s="562"/>
      <c r="G17" s="623" t="s">
        <v>881</v>
      </c>
      <c r="H17" s="600">
        <v>1</v>
      </c>
      <c r="I17" s="603"/>
    </row>
    <row r="18" spans="1:9" x14ac:dyDescent="0.45">
      <c r="A18" s="623" t="s">
        <v>878</v>
      </c>
      <c r="B18" s="623" t="s">
        <v>879</v>
      </c>
      <c r="C18" s="625" t="s">
        <v>524</v>
      </c>
      <c r="D18" s="630" t="s">
        <v>828</v>
      </c>
      <c r="E18" s="555"/>
      <c r="F18" s="562"/>
      <c r="G18" s="624" t="s">
        <v>750</v>
      </c>
      <c r="H18" s="600">
        <v>0</v>
      </c>
      <c r="I18" s="603"/>
    </row>
    <row r="19" spans="1:9" x14ac:dyDescent="0.45">
      <c r="A19" s="623" t="s">
        <v>803</v>
      </c>
      <c r="B19" s="624" t="s">
        <v>749</v>
      </c>
      <c r="C19" s="625" t="s">
        <v>521</v>
      </c>
      <c r="D19" s="630"/>
      <c r="E19" s="555" t="s">
        <v>826</v>
      </c>
      <c r="F19" s="562"/>
      <c r="G19" s="624" t="s">
        <v>738</v>
      </c>
      <c r="H19" s="600">
        <v>0</v>
      </c>
      <c r="I19" s="603"/>
    </row>
    <row r="20" spans="1:9" x14ac:dyDescent="0.45">
      <c r="A20" s="623" t="s">
        <v>880</v>
      </c>
      <c r="B20" s="623" t="s">
        <v>881</v>
      </c>
      <c r="C20" s="625" t="s">
        <v>525</v>
      </c>
      <c r="D20" s="622" t="s">
        <v>828</v>
      </c>
      <c r="E20" s="631"/>
      <c r="F20" s="562"/>
      <c r="G20" s="624" t="s">
        <v>683</v>
      </c>
      <c r="H20" s="600">
        <v>0</v>
      </c>
      <c r="I20" s="603"/>
    </row>
    <row r="21" spans="1:9" x14ac:dyDescent="0.45">
      <c r="A21" s="623" t="s">
        <v>804</v>
      </c>
      <c r="B21" s="624" t="s">
        <v>750</v>
      </c>
      <c r="C21" s="625" t="s">
        <v>522</v>
      </c>
      <c r="D21" s="630"/>
      <c r="E21" s="555"/>
      <c r="F21" s="562"/>
      <c r="G21" s="623" t="s">
        <v>918</v>
      </c>
      <c r="H21" s="600">
        <v>0</v>
      </c>
      <c r="I21" s="603"/>
    </row>
    <row r="22" spans="1:9" x14ac:dyDescent="0.45">
      <c r="A22" s="623" t="s">
        <v>779</v>
      </c>
      <c r="B22" s="624" t="s">
        <v>738</v>
      </c>
      <c r="C22" s="625" t="s">
        <v>711</v>
      </c>
      <c r="D22" s="630" t="s">
        <v>827</v>
      </c>
      <c r="E22" s="555"/>
      <c r="F22" s="562"/>
      <c r="G22" s="624" t="s">
        <v>735</v>
      </c>
      <c r="H22" s="600">
        <v>0</v>
      </c>
      <c r="I22" s="603" t="s">
        <v>726</v>
      </c>
    </row>
    <row r="23" spans="1:9" x14ac:dyDescent="0.45">
      <c r="A23" s="623" t="s">
        <v>777</v>
      </c>
      <c r="B23" s="624" t="s">
        <v>683</v>
      </c>
      <c r="C23" s="625" t="s">
        <v>709</v>
      </c>
      <c r="D23" s="630" t="s">
        <v>827</v>
      </c>
      <c r="E23" s="555"/>
      <c r="F23" s="562"/>
      <c r="G23" s="626" t="s">
        <v>860</v>
      </c>
      <c r="H23" s="600">
        <v>0</v>
      </c>
      <c r="I23" s="603" t="s">
        <v>726</v>
      </c>
    </row>
    <row r="24" spans="1:9" x14ac:dyDescent="0.45">
      <c r="A24" s="623" t="s">
        <v>917</v>
      </c>
      <c r="B24" s="623" t="s">
        <v>918</v>
      </c>
      <c r="C24" s="625" t="s">
        <v>919</v>
      </c>
      <c r="D24" s="622"/>
      <c r="E24" s="631"/>
      <c r="F24" s="562"/>
      <c r="G24" s="624" t="s">
        <v>736</v>
      </c>
      <c r="H24" s="600">
        <v>0</v>
      </c>
      <c r="I24" s="603" t="s">
        <v>726</v>
      </c>
    </row>
    <row r="25" spans="1:9" x14ac:dyDescent="0.45">
      <c r="A25" s="623" t="s">
        <v>783</v>
      </c>
      <c r="B25" s="624" t="s">
        <v>735</v>
      </c>
      <c r="C25" s="625" t="s">
        <v>501</v>
      </c>
      <c r="D25" s="630"/>
      <c r="E25" s="555"/>
      <c r="F25" s="562"/>
      <c r="G25" s="626" t="s">
        <v>861</v>
      </c>
      <c r="H25" s="600">
        <v>0</v>
      </c>
      <c r="I25" s="603" t="s">
        <v>726</v>
      </c>
    </row>
    <row r="26" spans="1:9" x14ac:dyDescent="0.45">
      <c r="A26" s="623" t="s">
        <v>882</v>
      </c>
      <c r="B26" s="626" t="s">
        <v>860</v>
      </c>
      <c r="C26" s="627" t="s">
        <v>853</v>
      </c>
      <c r="D26" s="630"/>
      <c r="E26" s="555"/>
      <c r="F26" s="562"/>
      <c r="G26" s="624" t="s">
        <v>747</v>
      </c>
      <c r="H26" s="600">
        <v>0</v>
      </c>
      <c r="I26" s="603" t="s">
        <v>726</v>
      </c>
    </row>
    <row r="27" spans="1:9" x14ac:dyDescent="0.45">
      <c r="A27" s="623" t="s">
        <v>784</v>
      </c>
      <c r="B27" s="624" t="s">
        <v>736</v>
      </c>
      <c r="C27" s="625" t="s">
        <v>502</v>
      </c>
      <c r="D27" s="630"/>
      <c r="E27" s="555"/>
      <c r="F27" s="562"/>
      <c r="G27" s="624" t="s">
        <v>748</v>
      </c>
      <c r="H27" s="600">
        <v>0</v>
      </c>
      <c r="I27" s="603" t="s">
        <v>726</v>
      </c>
    </row>
    <row r="28" spans="1:9" x14ac:dyDescent="0.45">
      <c r="A28" s="623" t="s">
        <v>883</v>
      </c>
      <c r="B28" s="626" t="s">
        <v>861</v>
      </c>
      <c r="C28" s="627" t="s">
        <v>854</v>
      </c>
      <c r="D28" s="630"/>
      <c r="E28" s="555"/>
      <c r="F28" s="562"/>
      <c r="G28" s="624" t="s">
        <v>746</v>
      </c>
      <c r="H28" s="600">
        <v>0</v>
      </c>
      <c r="I28" s="603" t="s">
        <v>726</v>
      </c>
    </row>
    <row r="29" spans="1:9" x14ac:dyDescent="0.45">
      <c r="A29" s="623" t="s">
        <v>794</v>
      </c>
      <c r="B29" s="624" t="s">
        <v>747</v>
      </c>
      <c r="C29" s="625" t="s">
        <v>512</v>
      </c>
      <c r="D29" s="630"/>
      <c r="E29" s="555"/>
      <c r="F29" s="562"/>
      <c r="G29" s="624" t="s">
        <v>739</v>
      </c>
      <c r="H29" s="600">
        <v>0</v>
      </c>
      <c r="I29" s="603" t="s">
        <v>726</v>
      </c>
    </row>
    <row r="30" spans="1:9" x14ac:dyDescent="0.45">
      <c r="A30" s="623" t="s">
        <v>795</v>
      </c>
      <c r="B30" s="624" t="s">
        <v>748</v>
      </c>
      <c r="C30" s="625" t="s">
        <v>514</v>
      </c>
      <c r="D30" s="630"/>
      <c r="E30" s="555"/>
      <c r="F30" s="562"/>
      <c r="G30" s="626" t="s">
        <v>862</v>
      </c>
      <c r="H30" s="600">
        <v>0</v>
      </c>
      <c r="I30" s="603" t="s">
        <v>726</v>
      </c>
    </row>
    <row r="31" spans="1:9" x14ac:dyDescent="0.45">
      <c r="A31" s="623" t="s">
        <v>793</v>
      </c>
      <c r="B31" s="624" t="s">
        <v>746</v>
      </c>
      <c r="C31" s="625" t="s">
        <v>511</v>
      </c>
      <c r="D31" s="630"/>
      <c r="E31" s="555"/>
      <c r="F31" s="562"/>
      <c r="G31" s="624" t="s">
        <v>744</v>
      </c>
      <c r="H31" s="600">
        <v>0</v>
      </c>
      <c r="I31" s="603" t="s">
        <v>726</v>
      </c>
    </row>
    <row r="32" spans="1:9" x14ac:dyDescent="0.45">
      <c r="A32" s="623" t="s">
        <v>786</v>
      </c>
      <c r="B32" s="624" t="s">
        <v>739</v>
      </c>
      <c r="C32" s="625" t="s">
        <v>504</v>
      </c>
      <c r="D32" s="630"/>
      <c r="E32" s="555"/>
      <c r="F32" s="562"/>
      <c r="G32" s="626" t="s">
        <v>866</v>
      </c>
      <c r="H32" s="600">
        <v>0</v>
      </c>
      <c r="I32" s="603" t="s">
        <v>726</v>
      </c>
    </row>
    <row r="33" spans="1:9" x14ac:dyDescent="0.45">
      <c r="A33" s="623" t="s">
        <v>886</v>
      </c>
      <c r="B33" s="626" t="s">
        <v>862</v>
      </c>
      <c r="C33" s="627" t="s">
        <v>855</v>
      </c>
      <c r="D33" s="630"/>
      <c r="E33" s="555"/>
      <c r="F33" s="562"/>
      <c r="G33" s="624" t="s">
        <v>688</v>
      </c>
      <c r="H33" s="600">
        <v>0</v>
      </c>
      <c r="I33" s="603" t="s">
        <v>726</v>
      </c>
    </row>
    <row r="34" spans="1:9" x14ac:dyDescent="0.45">
      <c r="A34" s="623" t="s">
        <v>791</v>
      </c>
      <c r="B34" s="624" t="s">
        <v>744</v>
      </c>
      <c r="C34" s="625" t="s">
        <v>509</v>
      </c>
      <c r="D34" s="630"/>
      <c r="E34" s="555"/>
      <c r="F34" s="562"/>
      <c r="G34" s="624" t="s">
        <v>745</v>
      </c>
      <c r="H34" s="600">
        <v>1</v>
      </c>
      <c r="I34" s="603" t="s">
        <v>726</v>
      </c>
    </row>
    <row r="35" spans="1:9" x14ac:dyDescent="0.45">
      <c r="A35" s="623" t="s">
        <v>887</v>
      </c>
      <c r="B35" s="626" t="s">
        <v>866</v>
      </c>
      <c r="C35" s="627" t="s">
        <v>859</v>
      </c>
      <c r="D35" s="630"/>
      <c r="E35" s="555"/>
      <c r="F35" s="562"/>
      <c r="G35" s="624" t="s">
        <v>740</v>
      </c>
      <c r="H35" s="600">
        <v>1</v>
      </c>
      <c r="I35" s="603" t="s">
        <v>726</v>
      </c>
    </row>
    <row r="36" spans="1:9" x14ac:dyDescent="0.45">
      <c r="A36" s="623" t="s">
        <v>797</v>
      </c>
      <c r="B36" s="624" t="s">
        <v>688</v>
      </c>
      <c r="C36" s="625" t="s">
        <v>713</v>
      </c>
      <c r="D36" s="630"/>
      <c r="E36" s="555"/>
      <c r="F36" s="562"/>
      <c r="G36" s="624" t="s">
        <v>742</v>
      </c>
      <c r="H36" s="600">
        <v>1</v>
      </c>
      <c r="I36" s="603" t="s">
        <v>726</v>
      </c>
    </row>
    <row r="37" spans="1:9" x14ac:dyDescent="0.45">
      <c r="A37" s="623" t="s">
        <v>792</v>
      </c>
      <c r="B37" s="624" t="s">
        <v>745</v>
      </c>
      <c r="C37" s="625" t="s">
        <v>510</v>
      </c>
      <c r="D37" s="630"/>
      <c r="E37" s="555"/>
      <c r="F37" s="562"/>
      <c r="G37" s="626" t="s">
        <v>864</v>
      </c>
      <c r="H37" s="600">
        <v>1</v>
      </c>
      <c r="I37" s="603" t="s">
        <v>726</v>
      </c>
    </row>
    <row r="38" spans="1:9" x14ac:dyDescent="0.45">
      <c r="A38" s="623" t="s">
        <v>787</v>
      </c>
      <c r="B38" s="624" t="s">
        <v>740</v>
      </c>
      <c r="C38" s="625" t="s">
        <v>505</v>
      </c>
      <c r="D38" s="630"/>
      <c r="E38" s="555"/>
      <c r="F38" s="562"/>
      <c r="G38" s="624" t="s">
        <v>743</v>
      </c>
      <c r="H38" s="600">
        <v>0</v>
      </c>
      <c r="I38" s="603" t="s">
        <v>726</v>
      </c>
    </row>
    <row r="39" spans="1:9" x14ac:dyDescent="0.45">
      <c r="A39" s="623" t="s">
        <v>789</v>
      </c>
      <c r="B39" s="624" t="s">
        <v>742</v>
      </c>
      <c r="C39" s="625" t="s">
        <v>507</v>
      </c>
      <c r="D39" s="630"/>
      <c r="E39" s="555"/>
      <c r="F39" s="562"/>
      <c r="G39" s="626" t="s">
        <v>865</v>
      </c>
      <c r="H39" s="600">
        <v>1</v>
      </c>
      <c r="I39" s="603" t="s">
        <v>726</v>
      </c>
    </row>
    <row r="40" spans="1:9" x14ac:dyDescent="0.45">
      <c r="A40" s="623" t="s">
        <v>888</v>
      </c>
      <c r="B40" s="626" t="s">
        <v>864</v>
      </c>
      <c r="C40" s="627" t="s">
        <v>857</v>
      </c>
      <c r="D40" s="630"/>
      <c r="E40" s="555"/>
      <c r="F40" s="562"/>
      <c r="G40" s="624" t="s">
        <v>741</v>
      </c>
      <c r="H40" s="600">
        <v>1</v>
      </c>
      <c r="I40" s="603" t="s">
        <v>726</v>
      </c>
    </row>
    <row r="41" spans="1:9" x14ac:dyDescent="0.45">
      <c r="A41" s="623" t="s">
        <v>790</v>
      </c>
      <c r="B41" s="624" t="s">
        <v>743</v>
      </c>
      <c r="C41" s="625" t="s">
        <v>508</v>
      </c>
      <c r="D41" s="630"/>
      <c r="E41" s="555"/>
      <c r="F41" s="562"/>
      <c r="G41" s="626" t="s">
        <v>863</v>
      </c>
      <c r="H41" s="600">
        <v>1</v>
      </c>
      <c r="I41" s="603" t="s">
        <v>726</v>
      </c>
    </row>
    <row r="42" spans="1:9" x14ac:dyDescent="0.45">
      <c r="A42" s="623" t="s">
        <v>889</v>
      </c>
      <c r="B42" s="626" t="s">
        <v>865</v>
      </c>
      <c r="C42" s="627" t="s">
        <v>858</v>
      </c>
      <c r="D42" s="630"/>
      <c r="E42" s="555"/>
      <c r="F42" s="562"/>
      <c r="G42" s="624" t="s">
        <v>687</v>
      </c>
      <c r="H42" s="600">
        <v>1</v>
      </c>
      <c r="I42" s="603" t="s">
        <v>726</v>
      </c>
    </row>
    <row r="43" spans="1:9" x14ac:dyDescent="0.45">
      <c r="A43" s="623" t="s">
        <v>788</v>
      </c>
      <c r="B43" s="624" t="s">
        <v>741</v>
      </c>
      <c r="C43" s="625" t="s">
        <v>506</v>
      </c>
      <c r="D43" s="630"/>
      <c r="E43" s="555"/>
      <c r="F43" s="562"/>
      <c r="G43" s="624" t="s">
        <v>737</v>
      </c>
      <c r="H43" s="600">
        <v>1</v>
      </c>
      <c r="I43" s="603" t="s">
        <v>726</v>
      </c>
    </row>
    <row r="44" spans="1:9" x14ac:dyDescent="0.45">
      <c r="A44" s="623" t="s">
        <v>798</v>
      </c>
      <c r="B44" s="624" t="s">
        <v>565</v>
      </c>
      <c r="C44" s="625" t="s">
        <v>516</v>
      </c>
      <c r="D44" s="630"/>
      <c r="E44" s="555" t="s">
        <v>826</v>
      </c>
      <c r="F44" s="562"/>
      <c r="G44" s="624" t="s">
        <v>823</v>
      </c>
      <c r="H44" s="600">
        <v>1</v>
      </c>
      <c r="I44" s="603" t="s">
        <v>726</v>
      </c>
    </row>
    <row r="45" spans="1:9" x14ac:dyDescent="0.45">
      <c r="A45" s="623" t="s">
        <v>890</v>
      </c>
      <c r="B45" s="626" t="s">
        <v>863</v>
      </c>
      <c r="C45" s="627" t="s">
        <v>856</v>
      </c>
      <c r="D45" s="630"/>
      <c r="E45" s="555"/>
      <c r="F45" s="562"/>
      <c r="G45" s="624" t="s">
        <v>689</v>
      </c>
      <c r="H45" s="600">
        <v>1</v>
      </c>
      <c r="I45" s="603"/>
    </row>
    <row r="46" spans="1:9" x14ac:dyDescent="0.45">
      <c r="A46" s="623" t="s">
        <v>796</v>
      </c>
      <c r="B46" s="624" t="s">
        <v>687</v>
      </c>
      <c r="C46" s="625" t="s">
        <v>712</v>
      </c>
      <c r="D46" s="630"/>
      <c r="E46" s="555"/>
      <c r="F46" s="562"/>
      <c r="G46" s="624" t="s">
        <v>680</v>
      </c>
      <c r="H46" s="600">
        <v>1</v>
      </c>
      <c r="I46" s="603"/>
    </row>
    <row r="47" spans="1:9" x14ac:dyDescent="0.45">
      <c r="A47" s="623" t="s">
        <v>785</v>
      </c>
      <c r="B47" s="624" t="s">
        <v>737</v>
      </c>
      <c r="C47" s="625" t="s">
        <v>503</v>
      </c>
      <c r="D47" s="630"/>
      <c r="E47" s="555"/>
      <c r="F47" s="562"/>
      <c r="G47" s="624" t="s">
        <v>667</v>
      </c>
      <c r="H47" s="600">
        <v>1</v>
      </c>
      <c r="I47" s="603"/>
    </row>
    <row r="48" spans="1:9" x14ac:dyDescent="0.45">
      <c r="A48" s="623" t="s">
        <v>891</v>
      </c>
      <c r="B48" s="624" t="s">
        <v>823</v>
      </c>
      <c r="C48" s="625" t="s">
        <v>515</v>
      </c>
      <c r="D48" s="630"/>
      <c r="E48" s="555"/>
      <c r="F48" s="562"/>
      <c r="G48" s="624" t="s">
        <v>692</v>
      </c>
      <c r="H48" s="600">
        <v>1</v>
      </c>
      <c r="I48" s="603"/>
    </row>
    <row r="49" spans="1:9" x14ac:dyDescent="0.45">
      <c r="A49" s="623" t="s">
        <v>799</v>
      </c>
      <c r="B49" s="624" t="s">
        <v>689</v>
      </c>
      <c r="C49" s="625" t="s">
        <v>517</v>
      </c>
      <c r="D49" s="630"/>
      <c r="E49" s="555"/>
      <c r="F49" s="562"/>
      <c r="G49" s="628" t="s">
        <v>885</v>
      </c>
      <c r="H49" s="600">
        <v>1</v>
      </c>
      <c r="I49" s="603" t="s">
        <v>726</v>
      </c>
    </row>
    <row r="50" spans="1:9" x14ac:dyDescent="0.45">
      <c r="A50" s="623" t="s">
        <v>775</v>
      </c>
      <c r="B50" s="624" t="s">
        <v>680</v>
      </c>
      <c r="C50" s="625" t="s">
        <v>706</v>
      </c>
      <c r="D50" s="630" t="s">
        <v>827</v>
      </c>
      <c r="E50" s="555"/>
      <c r="F50" s="562"/>
      <c r="G50" s="624" t="s">
        <v>701</v>
      </c>
      <c r="H50" s="600">
        <v>1</v>
      </c>
      <c r="I50" s="603"/>
    </row>
    <row r="51" spans="1:9" x14ac:dyDescent="0.45">
      <c r="A51" s="623" t="s">
        <v>822</v>
      </c>
      <c r="B51" s="624" t="s">
        <v>667</v>
      </c>
      <c r="C51" s="625" t="s">
        <v>666</v>
      </c>
      <c r="D51" s="630" t="s">
        <v>829</v>
      </c>
      <c r="E51" s="555"/>
      <c r="F51" s="562"/>
      <c r="G51" s="624" t="s">
        <v>753</v>
      </c>
      <c r="H51" s="600">
        <v>1</v>
      </c>
      <c r="I51" s="603"/>
    </row>
    <row r="52" spans="1:9" x14ac:dyDescent="0.45">
      <c r="A52" s="623" t="s">
        <v>802</v>
      </c>
      <c r="B52" s="624" t="s">
        <v>692</v>
      </c>
      <c r="C52" s="625" t="s">
        <v>520</v>
      </c>
      <c r="D52" s="630"/>
      <c r="E52" s="555"/>
      <c r="F52" s="562"/>
      <c r="G52" s="624" t="s">
        <v>691</v>
      </c>
      <c r="H52" s="600">
        <v>1</v>
      </c>
      <c r="I52" s="603"/>
    </row>
    <row r="53" spans="1:9" x14ac:dyDescent="0.45">
      <c r="A53" s="623" t="s">
        <v>884</v>
      </c>
      <c r="B53" s="623" t="s">
        <v>885</v>
      </c>
      <c r="C53" s="625" t="s">
        <v>513</v>
      </c>
      <c r="D53" s="630"/>
      <c r="E53" s="555"/>
      <c r="F53" s="562"/>
      <c r="G53" s="624" t="s">
        <v>681</v>
      </c>
      <c r="H53" s="600">
        <v>1</v>
      </c>
      <c r="I53" s="603"/>
    </row>
    <row r="54" spans="1:9" x14ac:dyDescent="0.45">
      <c r="A54" s="623" t="s">
        <v>701</v>
      </c>
      <c r="B54" s="624" t="s">
        <v>701</v>
      </c>
      <c r="C54" s="625" t="s">
        <v>529</v>
      </c>
      <c r="D54" s="630"/>
      <c r="E54" s="555"/>
      <c r="F54" s="562"/>
      <c r="G54" s="624" t="s">
        <v>699</v>
      </c>
      <c r="H54" s="600">
        <v>1</v>
      </c>
      <c r="I54" s="603"/>
    </row>
    <row r="55" spans="1:9" x14ac:dyDescent="0.45">
      <c r="A55" s="623" t="s">
        <v>810</v>
      </c>
      <c r="B55" s="624" t="s">
        <v>753</v>
      </c>
      <c r="C55" s="625" t="s">
        <v>720</v>
      </c>
      <c r="D55" s="630"/>
      <c r="E55" s="555"/>
      <c r="F55" s="562"/>
      <c r="G55" s="624" t="s">
        <v>697</v>
      </c>
      <c r="H55" s="600">
        <v>1</v>
      </c>
      <c r="I55" s="603"/>
    </row>
    <row r="56" spans="1:9" x14ac:dyDescent="0.45">
      <c r="A56" s="623" t="s">
        <v>801</v>
      </c>
      <c r="B56" s="624" t="s">
        <v>691</v>
      </c>
      <c r="C56" s="625" t="s">
        <v>519</v>
      </c>
      <c r="D56" s="630" t="s">
        <v>830</v>
      </c>
      <c r="E56" s="555"/>
      <c r="F56" s="562"/>
      <c r="G56" s="624" t="s">
        <v>752</v>
      </c>
      <c r="H56" s="600">
        <v>1</v>
      </c>
      <c r="I56" s="603"/>
    </row>
    <row r="57" spans="1:9" x14ac:dyDescent="0.45">
      <c r="A57" s="623" t="s">
        <v>805</v>
      </c>
      <c r="B57" s="624" t="s">
        <v>693</v>
      </c>
      <c r="C57" s="625" t="s">
        <v>523</v>
      </c>
      <c r="D57" s="630"/>
      <c r="E57" s="555" t="s">
        <v>826</v>
      </c>
      <c r="F57" s="562"/>
      <c r="G57" s="624" t="s">
        <v>751</v>
      </c>
      <c r="H57" s="600">
        <v>1</v>
      </c>
      <c r="I57" s="603"/>
    </row>
    <row r="58" spans="1:9" x14ac:dyDescent="0.45">
      <c r="A58" s="623" t="s">
        <v>681</v>
      </c>
      <c r="B58" s="624" t="s">
        <v>681</v>
      </c>
      <c r="C58" s="625" t="s">
        <v>707</v>
      </c>
      <c r="D58" s="630" t="s">
        <v>827</v>
      </c>
      <c r="E58" s="555"/>
      <c r="F58" s="562"/>
      <c r="G58" s="624" t="s">
        <v>700</v>
      </c>
      <c r="H58" s="600">
        <v>1</v>
      </c>
      <c r="I58" s="603"/>
    </row>
    <row r="59" spans="1:9" x14ac:dyDescent="0.45">
      <c r="A59" s="623" t="s">
        <v>699</v>
      </c>
      <c r="B59" s="624" t="s">
        <v>699</v>
      </c>
      <c r="C59" s="625" t="s">
        <v>528</v>
      </c>
      <c r="D59" s="630"/>
      <c r="E59" s="555"/>
      <c r="F59" s="562"/>
      <c r="G59" s="624" t="s">
        <v>698</v>
      </c>
      <c r="H59" s="600"/>
      <c r="I59" s="603"/>
    </row>
    <row r="60" spans="1:9" x14ac:dyDescent="0.45">
      <c r="A60" s="623" t="s">
        <v>697</v>
      </c>
      <c r="B60" s="624" t="s">
        <v>697</v>
      </c>
      <c r="C60" s="625" t="s">
        <v>717</v>
      </c>
      <c r="D60" s="630"/>
      <c r="E60" s="555"/>
      <c r="F60" s="562"/>
      <c r="G60" s="624" t="s">
        <v>761</v>
      </c>
      <c r="H60" s="600"/>
      <c r="I60" s="603"/>
    </row>
    <row r="61" spans="1:9" x14ac:dyDescent="0.45">
      <c r="A61" s="623" t="s">
        <v>809</v>
      </c>
      <c r="B61" s="624" t="s">
        <v>752</v>
      </c>
      <c r="C61" s="625" t="s">
        <v>527</v>
      </c>
      <c r="D61" s="630"/>
      <c r="E61" s="555"/>
      <c r="F61" s="562"/>
      <c r="G61" s="624" t="s">
        <v>754</v>
      </c>
      <c r="H61" s="600"/>
      <c r="I61" s="603"/>
    </row>
    <row r="62" spans="1:9" x14ac:dyDescent="0.45">
      <c r="A62" s="623" t="s">
        <v>808</v>
      </c>
      <c r="B62" s="624" t="s">
        <v>751</v>
      </c>
      <c r="C62" s="625" t="s">
        <v>526</v>
      </c>
      <c r="D62" s="630"/>
      <c r="E62" s="555"/>
      <c r="F62" s="562"/>
      <c r="G62" s="624" t="s">
        <v>906</v>
      </c>
      <c r="H62" s="600"/>
      <c r="I62" s="603"/>
    </row>
    <row r="63" spans="1:9" x14ac:dyDescent="0.45">
      <c r="A63" s="623" t="s">
        <v>700</v>
      </c>
      <c r="B63" s="624" t="s">
        <v>700</v>
      </c>
      <c r="C63" s="625" t="s">
        <v>719</v>
      </c>
      <c r="D63" s="630"/>
      <c r="E63" s="555"/>
      <c r="F63" s="562"/>
      <c r="G63" s="629" t="s">
        <v>904</v>
      </c>
      <c r="H63" s="600"/>
      <c r="I63" s="603"/>
    </row>
    <row r="64" spans="1:9" x14ac:dyDescent="0.45">
      <c r="A64" s="623" t="s">
        <v>812</v>
      </c>
      <c r="B64" s="624" t="s">
        <v>704</v>
      </c>
      <c r="C64" s="625" t="s">
        <v>531</v>
      </c>
      <c r="D64" s="630"/>
      <c r="E64" s="555" t="s">
        <v>826</v>
      </c>
      <c r="F64" s="562"/>
      <c r="G64" s="624" t="s">
        <v>758</v>
      </c>
      <c r="H64" s="600"/>
      <c r="I64" s="603"/>
    </row>
    <row r="65" spans="1:9" x14ac:dyDescent="0.45">
      <c r="A65" s="623" t="s">
        <v>698</v>
      </c>
      <c r="B65" s="624" t="s">
        <v>698</v>
      </c>
      <c r="C65" s="625" t="s">
        <v>718</v>
      </c>
      <c r="D65" s="630"/>
      <c r="E65" s="555"/>
      <c r="F65" s="562"/>
      <c r="G65" s="624" t="s">
        <v>911</v>
      </c>
      <c r="H65" s="600"/>
      <c r="I65" s="603"/>
    </row>
    <row r="66" spans="1:9" x14ac:dyDescent="0.45">
      <c r="A66" s="623" t="s">
        <v>821</v>
      </c>
      <c r="B66" s="624" t="s">
        <v>761</v>
      </c>
      <c r="C66" s="625" t="s">
        <v>545</v>
      </c>
      <c r="D66" s="630"/>
      <c r="E66" s="555"/>
      <c r="F66" s="562"/>
      <c r="G66" s="629" t="s">
        <v>909</v>
      </c>
      <c r="H66" s="600"/>
      <c r="I66" s="603"/>
    </row>
    <row r="67" spans="1:9" x14ac:dyDescent="0.45">
      <c r="A67" s="623" t="s">
        <v>813</v>
      </c>
      <c r="B67" s="624" t="s">
        <v>754</v>
      </c>
      <c r="C67" s="625" t="s">
        <v>532</v>
      </c>
      <c r="D67" s="630" t="s">
        <v>772</v>
      </c>
      <c r="E67" s="555"/>
      <c r="F67" s="562"/>
      <c r="G67" s="624" t="s">
        <v>759</v>
      </c>
      <c r="H67" s="600"/>
      <c r="I67" s="603"/>
    </row>
    <row r="68" spans="1:9" x14ac:dyDescent="0.45">
      <c r="A68" s="623" t="s">
        <v>905</v>
      </c>
      <c r="B68" s="624" t="s">
        <v>906</v>
      </c>
      <c r="C68" s="625" t="s">
        <v>907</v>
      </c>
      <c r="D68" s="622" t="s">
        <v>772</v>
      </c>
      <c r="E68" s="631"/>
      <c r="F68" s="562"/>
      <c r="G68" s="624" t="s">
        <v>755</v>
      </c>
      <c r="H68" s="600"/>
      <c r="I68" s="603"/>
    </row>
    <row r="69" spans="1:9" x14ac:dyDescent="0.45">
      <c r="A69" s="624" t="s">
        <v>903</v>
      </c>
      <c r="B69" s="624" t="s">
        <v>904</v>
      </c>
      <c r="C69" s="625" t="s">
        <v>540</v>
      </c>
      <c r="D69" s="630" t="s">
        <v>772</v>
      </c>
      <c r="E69" s="555"/>
      <c r="F69" s="562"/>
      <c r="G69" s="624" t="s">
        <v>760</v>
      </c>
      <c r="H69" s="600"/>
      <c r="I69" s="603"/>
    </row>
    <row r="70" spans="1:9" x14ac:dyDescent="0.45">
      <c r="A70" s="623" t="s">
        <v>818</v>
      </c>
      <c r="B70" s="624" t="s">
        <v>758</v>
      </c>
      <c r="C70" s="625" t="s">
        <v>542</v>
      </c>
      <c r="D70" s="630" t="s">
        <v>772</v>
      </c>
      <c r="E70" s="555"/>
      <c r="G70" s="624" t="s">
        <v>684</v>
      </c>
      <c r="H70" s="600"/>
      <c r="I70" s="603"/>
    </row>
    <row r="71" spans="1:9" x14ac:dyDescent="0.45">
      <c r="A71" s="623" t="s">
        <v>910</v>
      </c>
      <c r="B71" s="624" t="s">
        <v>911</v>
      </c>
      <c r="C71" s="625" t="s">
        <v>543</v>
      </c>
      <c r="D71" s="622" t="s">
        <v>772</v>
      </c>
      <c r="E71" s="631"/>
      <c r="G71" s="624" t="s">
        <v>756</v>
      </c>
      <c r="H71" s="600"/>
      <c r="I71" s="603"/>
    </row>
    <row r="72" spans="1:9" x14ac:dyDescent="0.45">
      <c r="A72" s="624" t="s">
        <v>908</v>
      </c>
      <c r="B72" s="624" t="s">
        <v>909</v>
      </c>
      <c r="C72" s="625" t="s">
        <v>541</v>
      </c>
      <c r="D72" s="630" t="s">
        <v>772</v>
      </c>
      <c r="E72" s="555"/>
      <c r="G72" s="624" t="s">
        <v>757</v>
      </c>
      <c r="H72" s="600"/>
      <c r="I72" s="603"/>
    </row>
    <row r="73" spans="1:9" x14ac:dyDescent="0.45">
      <c r="A73" s="623" t="s">
        <v>817</v>
      </c>
      <c r="B73" s="624" t="s">
        <v>763</v>
      </c>
      <c r="C73" s="625" t="s">
        <v>539</v>
      </c>
      <c r="D73" s="630" t="s">
        <v>831</v>
      </c>
      <c r="E73" s="555" t="s">
        <v>826</v>
      </c>
      <c r="G73" s="624" t="s">
        <v>695</v>
      </c>
      <c r="H73" s="600"/>
      <c r="I73" s="636"/>
    </row>
    <row r="74" spans="1:9" x14ac:dyDescent="0.45">
      <c r="A74" s="623" t="s">
        <v>819</v>
      </c>
      <c r="B74" s="624" t="s">
        <v>759</v>
      </c>
      <c r="C74" s="625" t="s">
        <v>543</v>
      </c>
      <c r="D74" s="630" t="s">
        <v>772</v>
      </c>
      <c r="E74" s="555"/>
      <c r="G74" s="624" t="s">
        <v>694</v>
      </c>
      <c r="H74" s="569"/>
      <c r="I74" s="568"/>
    </row>
    <row r="75" spans="1:9" x14ac:dyDescent="0.45">
      <c r="A75" s="623" t="s">
        <v>814</v>
      </c>
      <c r="B75" s="624" t="s">
        <v>755</v>
      </c>
      <c r="C75" s="625" t="s">
        <v>535</v>
      </c>
      <c r="D75" s="630"/>
      <c r="E75" s="555"/>
    </row>
    <row r="76" spans="1:9" x14ac:dyDescent="0.45">
      <c r="A76" s="623" t="s">
        <v>820</v>
      </c>
      <c r="B76" s="624" t="s">
        <v>760</v>
      </c>
      <c r="C76" s="625" t="s">
        <v>544</v>
      </c>
      <c r="D76" s="630" t="s">
        <v>772</v>
      </c>
      <c r="E76" s="555"/>
    </row>
    <row r="77" spans="1:9" x14ac:dyDescent="0.45">
      <c r="A77" s="623" t="s">
        <v>778</v>
      </c>
      <c r="B77" s="624" t="s">
        <v>684</v>
      </c>
      <c r="C77" s="625" t="s">
        <v>710</v>
      </c>
      <c r="D77" s="630" t="s">
        <v>827</v>
      </c>
      <c r="E77" s="555"/>
    </row>
    <row r="78" spans="1:9" x14ac:dyDescent="0.45">
      <c r="A78" s="628" t="s">
        <v>912</v>
      </c>
      <c r="B78" s="628" t="s">
        <v>913</v>
      </c>
      <c r="C78" s="625" t="s">
        <v>538</v>
      </c>
      <c r="D78" s="630" t="s">
        <v>832</v>
      </c>
      <c r="E78" s="555" t="s">
        <v>826</v>
      </c>
    </row>
    <row r="79" spans="1:9" x14ac:dyDescent="0.45">
      <c r="A79" s="623" t="s">
        <v>914</v>
      </c>
      <c r="B79" s="624" t="s">
        <v>915</v>
      </c>
      <c r="C79" s="625" t="s">
        <v>916</v>
      </c>
      <c r="D79" s="622" t="s">
        <v>832</v>
      </c>
      <c r="E79" s="631" t="s">
        <v>826</v>
      </c>
    </row>
    <row r="80" spans="1:9" x14ac:dyDescent="0.45">
      <c r="A80" s="623" t="s">
        <v>815</v>
      </c>
      <c r="B80" s="624" t="s">
        <v>756</v>
      </c>
      <c r="C80" s="625" t="s">
        <v>536</v>
      </c>
      <c r="D80" s="630" t="s">
        <v>772</v>
      </c>
      <c r="E80" s="555"/>
    </row>
    <row r="81" spans="1:8" x14ac:dyDescent="0.45">
      <c r="A81" s="623" t="s">
        <v>816</v>
      </c>
      <c r="B81" s="624" t="s">
        <v>757</v>
      </c>
      <c r="C81" s="625" t="s">
        <v>537</v>
      </c>
      <c r="D81" s="630" t="s">
        <v>772</v>
      </c>
      <c r="E81" s="555"/>
    </row>
    <row r="82" spans="1:8" x14ac:dyDescent="0.45">
      <c r="A82" s="623" t="s">
        <v>807</v>
      </c>
      <c r="B82" s="624" t="s">
        <v>695</v>
      </c>
      <c r="C82" s="625" t="s">
        <v>715</v>
      </c>
      <c r="D82" s="630"/>
      <c r="E82" s="555"/>
    </row>
    <row r="83" spans="1:8" x14ac:dyDescent="0.45">
      <c r="A83" s="623" t="s">
        <v>806</v>
      </c>
      <c r="B83" s="624" t="s">
        <v>694</v>
      </c>
      <c r="C83" s="625" t="s">
        <v>714</v>
      </c>
      <c r="D83" s="630"/>
      <c r="E83" s="555"/>
    </row>
    <row r="84" spans="1:8" x14ac:dyDescent="0.45">
      <c r="D84" s="559"/>
      <c r="E84" s="559"/>
    </row>
    <row r="85" spans="1:8" x14ac:dyDescent="0.45">
      <c r="D85" s="559"/>
      <c r="E85" s="559"/>
    </row>
    <row r="88" spans="1:8" ht="25.5" x14ac:dyDescent="0.45">
      <c r="A88" s="1016" t="s">
        <v>765</v>
      </c>
      <c r="B88" s="1016"/>
      <c r="C88" s="1016"/>
      <c r="D88" s="1016"/>
      <c r="E88" s="1016"/>
      <c r="G88" s="1016" t="s">
        <v>929</v>
      </c>
      <c r="H88" s="1016"/>
    </row>
    <row r="89" spans="1:8" ht="42.75" x14ac:dyDescent="0.45">
      <c r="A89" s="564"/>
      <c r="B89" s="560" t="s">
        <v>722</v>
      </c>
      <c r="C89" s="560" t="s">
        <v>723</v>
      </c>
      <c r="D89" s="561" t="s">
        <v>724</v>
      </c>
      <c r="E89" s="567" t="s">
        <v>725</v>
      </c>
      <c r="G89" s="563" t="s">
        <v>773</v>
      </c>
      <c r="H89" s="569" t="s">
        <v>766</v>
      </c>
    </row>
    <row r="90" spans="1:8" x14ac:dyDescent="0.45">
      <c r="A90" s="623" t="s">
        <v>900</v>
      </c>
      <c r="B90" s="624" t="s">
        <v>901</v>
      </c>
      <c r="C90" s="625" t="s">
        <v>902</v>
      </c>
      <c r="D90" s="626" t="s">
        <v>924</v>
      </c>
      <c r="E90" s="634"/>
      <c r="G90" s="563" t="s">
        <v>770</v>
      </c>
      <c r="H90" s="569" t="s">
        <v>767</v>
      </c>
    </row>
    <row r="91" spans="1:8" x14ac:dyDescent="0.45">
      <c r="A91" s="623" t="s">
        <v>897</v>
      </c>
      <c r="B91" s="624" t="s">
        <v>898</v>
      </c>
      <c r="C91" s="625" t="s">
        <v>899</v>
      </c>
      <c r="D91" s="626" t="s">
        <v>923</v>
      </c>
      <c r="E91" s="634"/>
      <c r="G91" s="563" t="s">
        <v>833</v>
      </c>
      <c r="H91" s="569" t="s">
        <v>768</v>
      </c>
    </row>
    <row r="92" spans="1:8" x14ac:dyDescent="0.45">
      <c r="A92" s="623" t="s">
        <v>892</v>
      </c>
      <c r="B92" s="635" t="s">
        <v>893</v>
      </c>
      <c r="C92" s="625" t="s">
        <v>500</v>
      </c>
      <c r="D92" s="626" t="s">
        <v>921</v>
      </c>
      <c r="E92" s="634"/>
      <c r="G92" s="563" t="s">
        <v>834</v>
      </c>
      <c r="H92" s="569" t="s">
        <v>769</v>
      </c>
    </row>
    <row r="93" spans="1:8" ht="27.75" x14ac:dyDescent="0.45">
      <c r="A93" s="632" t="s">
        <v>817</v>
      </c>
      <c r="B93" s="627" t="s">
        <v>686</v>
      </c>
      <c r="C93" s="627" t="s">
        <v>499</v>
      </c>
      <c r="D93" s="626" t="s">
        <v>825</v>
      </c>
      <c r="E93" s="633" t="s">
        <v>826</v>
      </c>
    </row>
    <row r="94" spans="1:8" ht="27.75" x14ac:dyDescent="0.45">
      <c r="A94" s="632" t="s">
        <v>781</v>
      </c>
      <c r="B94" s="627" t="s">
        <v>762</v>
      </c>
      <c r="C94" s="627" t="s">
        <v>498</v>
      </c>
      <c r="D94" s="626" t="s">
        <v>825</v>
      </c>
      <c r="E94" s="633" t="s">
        <v>826</v>
      </c>
    </row>
    <row r="95" spans="1:8" x14ac:dyDescent="0.45">
      <c r="A95" s="623" t="s">
        <v>894</v>
      </c>
      <c r="B95" s="624" t="s">
        <v>895</v>
      </c>
      <c r="C95" s="625" t="s">
        <v>896</v>
      </c>
      <c r="D95" s="626" t="s">
        <v>922</v>
      </c>
      <c r="E95" s="634"/>
    </row>
    <row r="96" spans="1:8" x14ac:dyDescent="0.45">
      <c r="A96" s="623" t="s">
        <v>878</v>
      </c>
      <c r="B96" s="623" t="s">
        <v>879</v>
      </c>
      <c r="C96" s="623" t="s">
        <v>524</v>
      </c>
      <c r="D96" s="626" t="s">
        <v>830</v>
      </c>
      <c r="E96" s="633"/>
    </row>
    <row r="97" spans="1:5" x14ac:dyDescent="0.45">
      <c r="A97" s="623" t="s">
        <v>880</v>
      </c>
      <c r="B97" s="623" t="s">
        <v>881</v>
      </c>
      <c r="C97" s="623" t="s">
        <v>525</v>
      </c>
      <c r="D97" s="626" t="s">
        <v>830</v>
      </c>
      <c r="E97" s="633"/>
    </row>
    <row r="98" spans="1:5" x14ac:dyDescent="0.45">
      <c r="A98" s="632" t="s">
        <v>801</v>
      </c>
      <c r="B98" s="627" t="s">
        <v>691</v>
      </c>
      <c r="C98" s="623" t="s">
        <v>519</v>
      </c>
      <c r="D98" s="626" t="s">
        <v>828</v>
      </c>
      <c r="E98" s="633"/>
    </row>
    <row r="99" spans="1:5" x14ac:dyDescent="0.45">
      <c r="A99" s="623" t="s">
        <v>681</v>
      </c>
      <c r="B99" s="624" t="s">
        <v>681</v>
      </c>
      <c r="C99" s="625" t="s">
        <v>707</v>
      </c>
      <c r="D99" s="626" t="s">
        <v>827</v>
      </c>
      <c r="E99" s="634"/>
    </row>
    <row r="100" spans="1:5" x14ac:dyDescent="0.45">
      <c r="A100" s="623" t="s">
        <v>817</v>
      </c>
      <c r="B100" s="627" t="s">
        <v>763</v>
      </c>
      <c r="C100" s="627" t="s">
        <v>539</v>
      </c>
      <c r="D100" s="626" t="s">
        <v>831</v>
      </c>
      <c r="E100" s="633"/>
    </row>
    <row r="101" spans="1:5" x14ac:dyDescent="0.45">
      <c r="A101" s="623" t="s">
        <v>912</v>
      </c>
      <c r="B101" s="623" t="s">
        <v>913</v>
      </c>
      <c r="C101" s="625" t="s">
        <v>538</v>
      </c>
      <c r="D101" s="626" t="s">
        <v>832</v>
      </c>
      <c r="E101" s="634" t="s">
        <v>826</v>
      </c>
    </row>
    <row r="102" spans="1:5" x14ac:dyDescent="0.45">
      <c r="A102" s="623" t="s">
        <v>914</v>
      </c>
      <c r="B102" s="635" t="s">
        <v>915</v>
      </c>
      <c r="C102" s="625" t="s">
        <v>916</v>
      </c>
      <c r="D102" s="626" t="s">
        <v>832</v>
      </c>
      <c r="E102" s="634" t="s">
        <v>826</v>
      </c>
    </row>
  </sheetData>
  <autoFilter ref="A3:E83"/>
  <sortState ref="G4:I73">
    <sortCondition ref="G4:G73"/>
  </sortState>
  <mergeCells count="4">
    <mergeCell ref="A2:E2"/>
    <mergeCell ref="G2:I2"/>
    <mergeCell ref="A88:E88"/>
    <mergeCell ref="G88:H88"/>
  </mergeCells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08Prot"/>
  <dimension ref="B3:B4"/>
  <sheetViews>
    <sheetView zoomScaleNormal="100" workbookViewId="0">
      <selection activeCell="D13" sqref="D13"/>
    </sheetView>
  </sheetViews>
  <sheetFormatPr baseColWidth="10" defaultRowHeight="14.25" x14ac:dyDescent="0.45"/>
  <sheetData>
    <row r="3" spans="2:2" ht="18" x14ac:dyDescent="0.55000000000000004">
      <c r="B3" s="598" t="s">
        <v>873</v>
      </c>
    </row>
    <row r="4" spans="2:2" x14ac:dyDescent="0.45">
      <c r="B4" s="599" t="s">
        <v>872</v>
      </c>
    </row>
  </sheetData>
  <pageMargins left="0.7" right="0.7" top="0.78740157499999996" bottom="0.78740157499999996" header="0.3" footer="0.3"/>
  <pageSetup paperSize="9"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DF0B0E28BDA094E9B93D2617D3764CE" ma:contentTypeVersion="3" ma:contentTypeDescription="Ein neues Dokument erstellen." ma:contentTypeScope="" ma:versionID="dc16d6cf2c836cdc81199d2d446a59f5">
  <xsd:schema xmlns:xsd="http://www.w3.org/2001/XMLSchema" xmlns:xs="http://www.w3.org/2001/XMLSchema" xmlns:p="http://schemas.microsoft.com/office/2006/metadata/properties" xmlns:ns2="69be98a1-4f79-4d29-b61a-26caf4743240" targetNamespace="http://schemas.microsoft.com/office/2006/metadata/properties" ma:root="true" ma:fieldsID="122de577c56c9dac3fe720c12eb98547" ns2:_="">
    <xsd:import namespace="69be98a1-4f79-4d29-b61a-26caf47432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be98a1-4f79-4d29-b61a-26caf47432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E6DA6FE-48AC-4C4D-B601-7D854194F5AA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sharepoint/v3"/>
    <ds:schemaRef ds:uri="6824841b-6506-4933-88d3-5170f6c0e270"/>
    <ds:schemaRef ds:uri="http://purl.org/dc/terms/"/>
    <ds:schemaRef ds:uri="http://schemas.microsoft.com/office/infopath/2007/PartnerControls"/>
    <ds:schemaRef ds:uri="4d5e9ab7-90b5-491e-9da4-d989b0c1177b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552DE25-2B1F-45AF-87D2-15C850287C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7F5530-8678-4DDC-91CF-3839254D6AA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C04F391-9E8A-4377-A266-D6266B39C88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44</vt:i4>
      </vt:variant>
    </vt:vector>
  </HeadingPairs>
  <TitlesOfParts>
    <vt:vector size="52" baseType="lpstr">
      <vt:lpstr>Zusammenfassung</vt:lpstr>
      <vt:lpstr>Material</vt:lpstr>
      <vt:lpstr>Fertigungskosten</vt:lpstr>
      <vt:lpstr>MSS</vt:lpstr>
      <vt:lpstr>SBM-Vorrichtungen-FWZ</vt:lpstr>
      <vt:lpstr>Rohstoffrisiken</vt:lpstr>
      <vt:lpstr>Protokoll</vt:lpstr>
      <vt:lpstr>Dokumentenlenkung</vt:lpstr>
      <vt:lpstr>Abwicklungsmodelle</vt:lpstr>
      <vt:lpstr>bottomMaterials</vt:lpstr>
      <vt:lpstr>bottomProcesses</vt:lpstr>
      <vt:lpstr>bottomTools</vt:lpstr>
      <vt:lpstr>Fertigungskosten!Druckbereich</vt:lpstr>
      <vt:lpstr>Material!Druckbereich</vt:lpstr>
      <vt:lpstr>MSS!Druckbereich</vt:lpstr>
      <vt:lpstr>Prämissenblatt!Druckbereich</vt:lpstr>
      <vt:lpstr>Protokoll!Druckbereich</vt:lpstr>
      <vt:lpstr>Rohstoffrisiken!Druckbereich</vt:lpstr>
      <vt:lpstr>'SBM-Vorrichtungen-FWZ'!Druckbereich</vt:lpstr>
      <vt:lpstr>Zusammenfassung!Druckbereich</vt:lpstr>
      <vt:lpstr>Ergänzungsschlüssel</vt:lpstr>
      <vt:lpstr>Folgewerkzeug</vt:lpstr>
      <vt:lpstr>Kaufteil</vt:lpstr>
      <vt:lpstr>list_Rohstoffschlüssel</vt:lpstr>
      <vt:lpstr>listAngebotsWährungen</vt:lpstr>
      <vt:lpstr>listFlächeneinheit</vt:lpstr>
      <vt:lpstr>listLändernamen</vt:lpstr>
      <vt:lpstr>listMengeneinheiten</vt:lpstr>
      <vt:lpstr>listRohstoffschlüssel_Neu</vt:lpstr>
      <vt:lpstr>listVerrechnungsformen</vt:lpstr>
      <vt:lpstr>listVorhanden</vt:lpstr>
      <vt:lpstr>listZulässigeAngebotswährungen</vt:lpstr>
      <vt:lpstr>listZulässigeBeschaffungswährungen</vt:lpstr>
      <vt:lpstr>Prämie</vt:lpstr>
      <vt:lpstr>QAF_MAPPING_GEWINN_1</vt:lpstr>
      <vt:lpstr>QAF_MAPPING_GEWINN_2</vt:lpstr>
      <vt:lpstr>QAF_MAPPING_GEWINN_3</vt:lpstr>
      <vt:lpstr>QAF_MAPPING_SBM_1</vt:lpstr>
      <vt:lpstr>QAF_MAPPING_SBM_2</vt:lpstr>
      <vt:lpstr>QAF_MAPPING_SBM_3</vt:lpstr>
      <vt:lpstr>Risiko</vt:lpstr>
      <vt:lpstr>Rohstoff_Risiko</vt:lpstr>
      <vt:lpstr>Rohstoffe_Materialblatt</vt:lpstr>
      <vt:lpstr>SBM</vt:lpstr>
      <vt:lpstr>SBM_2</vt:lpstr>
      <vt:lpstr>SBMFeld</vt:lpstr>
      <vt:lpstr>Stück_Risiko</vt:lpstr>
      <vt:lpstr>Vorrichtung</vt:lpstr>
      <vt:lpstr>Vorrichtung_2</vt:lpstr>
      <vt:lpstr>VorrichtungFeld</vt:lpstr>
      <vt:lpstr>Werkzeuginstandhaltung</vt:lpstr>
      <vt:lpstr>WerkzeugwartungFeld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Quotation Analysis Form - de</dc:title>
  <dc:creator>Markus Zwicknagl</dc:creator>
  <cp:keywords/>
  <cp:lastModifiedBy>K. Weigand</cp:lastModifiedBy>
  <cp:lastPrinted>2017-04-24T13:01:43Z</cp:lastPrinted>
  <dcterms:created xsi:type="dcterms:W3CDTF">2010-02-22T08:40:31Z</dcterms:created>
  <dcterms:modified xsi:type="dcterms:W3CDTF">2020-04-06T09:12:20Z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0x010100DDF0B0E28BDA094E9B93D2617D3764CE</vt:lpwstr>
  </property>
  <property fmtid="{D5CDD505-2E9C-101B-9397-08002B2CF9AE}" pid="3" name="_dlc_DocIdItemGuid">
    <vt:lpwstr>e40ca75f-2d5a-4567-9e11-ecbf70562245</vt:lpwstr>
  </property>
  <property fmtid="{D5CDD505-2E9C-101B-9397-08002B2CF9AE}" pid="4" name="TaxKeyword">
    <vt:lpwstr/>
  </property>
</Properties>
</file>