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DieseArbeitsmappe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L:\Abteilung\Vertrieb\NBHX Trim_BMW Group\1.0_Projects\BMW_U06ff._Decor_Trim_EU\03_QAF (Customer Cost Break Down)\2023-07-27_Preisanpassungen\QAFs_230901\"/>
    </mc:Choice>
  </mc:AlternateContent>
  <xr:revisionPtr revIDLastSave="0" documentId="13_ncr:1_{7B18ED0A-7B4B-4AB0-BF23-2B875EDDAA9C}" xr6:coauthVersionLast="47" xr6:coauthVersionMax="47" xr10:uidLastSave="{00000000-0000-0000-0000-000000000000}"/>
  <bookViews>
    <workbookView xWindow="-108" yWindow="-108" windowWidth="23256" windowHeight="12576" tabRatio="818" xr2:uid="{00000000-000D-0000-FFFF-FFFF00000000}"/>
  </bookViews>
  <sheets>
    <sheet name="Zusammenfassung" sheetId="2" r:id="rId1"/>
    <sheet name="Material" sheetId="6" r:id="rId2"/>
    <sheet name="Fertigungskosten" sheetId="18" r:id="rId3"/>
    <sheet name="SBM-SEKOF-FWZ" sheetId="8" r:id="rId4"/>
    <sheet name="Rohstoffrisiken" sheetId="25" r:id="rId5"/>
    <sheet name="Prämissenblatt" sheetId="17" state="veryHidden" r:id="rId6"/>
    <sheet name="Prämissenblatt_Rohstoff" sheetId="24" state="veryHidden" r:id="rId7"/>
    <sheet name="Protokoll" sheetId="26" r:id="rId8"/>
    <sheet name="Dokumentenlenkung" sheetId="30" r:id="rId9"/>
    <sheet name="Temp" sheetId="27" state="veryHidden" r:id="rId10"/>
  </sheets>
  <externalReferences>
    <externalReference r:id="rId11"/>
  </externalReferences>
  <definedNames>
    <definedName name="_xlnm._FilterDatabase" localSheetId="6" hidden="1">Prämissenblatt_Rohstoff!$A$3:$E$83</definedName>
    <definedName name="Abwicklungsmodelle">Prämissenblatt_Rohstoff!$H$89:$H$92</definedName>
    <definedName name="bottomMaterials">Material!$D$34</definedName>
    <definedName name="bottomProcesses">Fertigungskosten!$D$34</definedName>
    <definedName name="bottomTools">'SBM-SEKOF-FWZ'!$C$32</definedName>
    <definedName name="Currency_Unit">[1]Units!$A$2:$A$4</definedName>
    <definedName name="Distance_Unit">[1]Units!$A$7:$A$8</definedName>
    <definedName name="_xlnm.Print_Area" localSheetId="2">Fertigungskosten!$A$1:$X$39</definedName>
    <definedName name="_xlnm.Print_Area" localSheetId="1">Material!$A$1:$AC$39</definedName>
    <definedName name="_xlnm.Print_Area" localSheetId="5">Prämissenblatt!$O$6:$U$48</definedName>
    <definedName name="_xlnm.Print_Area" localSheetId="7">Protokoll!$A$1:$J$4</definedName>
    <definedName name="_xlnm.Print_Area" localSheetId="4">Rohstoffrisiken!$A$1:$V$35</definedName>
    <definedName name="_xlnm.Print_Area" localSheetId="3">'SBM-SEKOF-FWZ'!$A$1:$V$37</definedName>
    <definedName name="_xlnm.Print_Area" localSheetId="0">Zusammenfassung!$A$1:$Q$42</definedName>
    <definedName name="EndZMaterials">ROW(bottomMaterials)-1</definedName>
    <definedName name="EndZProcesses">ROW(bottomProcesses)-1</definedName>
    <definedName name="EndZSBMInv">ROW(bottomSBMInvent)-1</definedName>
    <definedName name="EndZTools">ROW(bottomTools)-1</definedName>
    <definedName name="Ergänzungsschlüssel">Prämissenblatt_Rohstoff!$B$90:$B$102</definedName>
    <definedName name="Folgewerkzeug">Prämissenblatt!$O$8:$O$48</definedName>
    <definedName name="Kaufteil">Prämissenblatt!$W$8</definedName>
    <definedName name="list_Rohstoffschlüssel">Prämissenblatt_Rohstoff!$B$4:$D$83</definedName>
    <definedName name="listAngebotsWährungen">Zusammenfassung!$C$26:$C$28</definedName>
    <definedName name="listFlächeneinheit">Prämissenblatt!$AC$8:$AC$10</definedName>
    <definedName name="listLändernamen">Prämissenblatt!$K$8:$K$87</definedName>
    <definedName name="listMengeneinheiten">Prämissenblatt!$W$8:$W$28</definedName>
    <definedName name="listRohstoffschlüssel_Neu">Prämissenblatt_Rohstoff!$G$4:$G$74</definedName>
    <definedName name="listVerrechnungsformen">Prämissenblatt!$AA$8:$AA$11</definedName>
    <definedName name="listVorhanden">Prämissenblatt!$Y$8:$Y$9</definedName>
    <definedName name="listZulässigeAngebotswährungen">Prämissenblatt!$E$8:$E$40</definedName>
    <definedName name="listZulässigeBeschaffungswährungen">Prämissenblatt!$H$8:$H$63</definedName>
    <definedName name="Packaging_Concept">[1]Units!$A$31:$A$32</definedName>
    <definedName name="Prämie">Prämissenblatt!$W$17</definedName>
    <definedName name="QAF_MAPPING_GEWINN_1">Zusammenfassung!$P$23</definedName>
    <definedName name="QAF_MAPPING_GEWINN_2">Zusammenfassung!$O$23</definedName>
    <definedName name="QAF_MAPPING_GEWINN_3">Zusammenfassung!$N$23</definedName>
    <definedName name="QAF_MAPPING_SBM_1">Zusammenfassung!$P$34</definedName>
    <definedName name="QAF_MAPPING_SBM_2">Zusammenfassung!$O$34</definedName>
    <definedName name="QAF_MAPPING_SBM_3">Zusammenfassung!$N$34</definedName>
    <definedName name="QAF_MAPPING_ZUSCHLAG_1">Zusammenfassung!#REF!</definedName>
    <definedName name="QAF_MAPPING_ZUSCHLAG_2">Zusammenfassung!#REF!</definedName>
    <definedName name="QAF_MAPPING_ZUSCHLAG_3">Zusammenfassung!#REF!</definedName>
    <definedName name="Risiko">Prämissenblatt!$W$9</definedName>
    <definedName name="Rohstoff_Risiko">Prämissenblatt!$W$9</definedName>
    <definedName name="Rohstoffe_Materialblatt">Prämissenblatt_Rohstoff!$G$4:$I$74</definedName>
    <definedName name="SBM">Prämissenblatt!$O$8:$O$48</definedName>
    <definedName name="SBM_2">Prämissenblatt!$O$8:$P$48</definedName>
    <definedName name="SBMFeld">Prämissenblatt!$O$6</definedName>
    <definedName name="SEKOF">Prämissenblatt!$S$8:$S$41</definedName>
    <definedName name="SEKOF_2">Prämissenblatt!$S$8:$T$41</definedName>
    <definedName name="SEKOFFeld">Prämissenblatt!$S$6</definedName>
    <definedName name="Stück_Risiko">Prämissenblatt!$W$9</definedName>
    <definedName name="Transport_Concept">[1]Units!$A$11:$A$15</definedName>
    <definedName name="Transport_Unit">[1]Units!$A$18:$A$28</definedName>
    <definedName name="Werkzeuginstandhaltung">Prämissenblatt!$AH$8</definedName>
    <definedName name="WerkzeugwartungFeld">Prämissenblatt!$AH$6</definedName>
  </definedNames>
  <calcPr calcId="191029"/>
  <pivotCaches>
    <pivotCache cacheId="17" r:id="rId1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0" i="18" l="1"/>
  <c r="P24" i="18" s="1"/>
  <c r="AH23" i="2"/>
  <c r="AI23" i="2"/>
  <c r="AH20" i="2"/>
  <c r="AK23" i="2" s="1"/>
  <c r="P32" i="18"/>
  <c r="Q32" i="18" s="1"/>
  <c r="U32" i="18" s="1"/>
  <c r="W32" i="18" s="1"/>
  <c r="O32" i="18"/>
  <c r="P31" i="18"/>
  <c r="Q31" i="18" s="1"/>
  <c r="U31" i="18" s="1"/>
  <c r="W31" i="18" s="1"/>
  <c r="O31" i="18"/>
  <c r="P30" i="18"/>
  <c r="Q30" i="18" s="1"/>
  <c r="U30" i="18" s="1"/>
  <c r="W30" i="18" s="1"/>
  <c r="O30" i="18"/>
  <c r="P29" i="18"/>
  <c r="Q29" i="18" s="1"/>
  <c r="U29" i="18" s="1"/>
  <c r="W29" i="18" s="1"/>
  <c r="O29" i="18"/>
  <c r="Q28" i="18"/>
  <c r="U28" i="18" s="1"/>
  <c r="W28" i="18" s="1"/>
  <c r="P28" i="18"/>
  <c r="O28" i="18"/>
  <c r="M27" i="18"/>
  <c r="O27" i="18" s="1"/>
  <c r="M26" i="18"/>
  <c r="P26" i="18" s="1"/>
  <c r="H26" i="18"/>
  <c r="I18" i="6"/>
  <c r="I15" i="6"/>
  <c r="P27" i="18" l="1"/>
  <c r="Q27" i="18" s="1"/>
  <c r="U27" i="18" s="1"/>
  <c r="W27" i="18" s="1"/>
  <c r="O26" i="18"/>
  <c r="Q26" i="18"/>
  <c r="U26" i="18" s="1"/>
  <c r="W26" i="18" s="1"/>
  <c r="AG30" i="2" l="1"/>
  <c r="AF30" i="2"/>
  <c r="AE30" i="2"/>
  <c r="V15" i="18"/>
  <c r="V19" i="6"/>
  <c r="V16" i="6"/>
  <c r="V15" i="6"/>
  <c r="Q24" i="18"/>
  <c r="U24" i="18" s="1"/>
  <c r="W24" i="18" s="1"/>
  <c r="O24" i="18"/>
  <c r="I23" i="18"/>
  <c r="H23" i="18"/>
  <c r="J20" i="18"/>
  <c r="H20" i="18"/>
  <c r="V29" i="2"/>
  <c r="V30" i="2" s="1"/>
  <c r="J18" i="18"/>
  <c r="M14" i="18"/>
  <c r="P14" i="18" s="1"/>
  <c r="P24" i="6"/>
  <c r="U24" i="6" s="1"/>
  <c r="W24" i="6" s="1"/>
  <c r="P23" i="6"/>
  <c r="U23" i="6" s="1"/>
  <c r="W23" i="6" s="1"/>
  <c r="W16" i="6"/>
  <c r="P16" i="6"/>
  <c r="O16" i="6"/>
  <c r="T30" i="2"/>
  <c r="U30" i="2"/>
  <c r="X30" i="2"/>
  <c r="Y30" i="2"/>
  <c r="Z30" i="2"/>
  <c r="AA30" i="2"/>
  <c r="AB30" i="2"/>
  <c r="AC30" i="2"/>
  <c r="S30" i="2"/>
  <c r="Z14" i="6"/>
  <c r="AB14" i="6" s="1"/>
  <c r="I14" i="6"/>
  <c r="Z19" i="6"/>
  <c r="AB19" i="6" s="1"/>
  <c r="M23" i="18"/>
  <c r="M21" i="18"/>
  <c r="M20" i="18"/>
  <c r="M18" i="18"/>
  <c r="M17" i="18"/>
  <c r="M16" i="18"/>
  <c r="M15" i="18"/>
  <c r="Q14" i="18" l="1"/>
  <c r="U14" i="18" s="1"/>
  <c r="W14" i="18" s="1"/>
  <c r="W30" i="2"/>
  <c r="O14" i="18"/>
  <c r="W14" i="8"/>
  <c r="X14" i="8"/>
  <c r="S15" i="8" l="1"/>
  <c r="U15" i="8" s="1"/>
  <c r="T15" i="8"/>
  <c r="O20" i="6" l="1"/>
  <c r="L16" i="18" l="1"/>
  <c r="P16" i="18" s="1"/>
  <c r="L17" i="18"/>
  <c r="P17" i="18" s="1"/>
  <c r="L18" i="18"/>
  <c r="P18" i="18" s="1"/>
  <c r="L19" i="18"/>
  <c r="P19" i="18" s="1"/>
  <c r="L20" i="18"/>
  <c r="P20" i="18" s="1"/>
  <c r="L21" i="18"/>
  <c r="P21" i="18" s="1"/>
  <c r="L22" i="18"/>
  <c r="P22" i="18" s="1"/>
  <c r="L23" i="18"/>
  <c r="P23" i="18" s="1"/>
  <c r="L15" i="18"/>
  <c r="P15" i="18" s="1"/>
  <c r="S19" i="8" l="1"/>
  <c r="U19" i="8" s="1"/>
  <c r="S20" i="8"/>
  <c r="U20" i="8" s="1"/>
  <c r="S21" i="8"/>
  <c r="U21" i="8" s="1"/>
  <c r="S22" i="8"/>
  <c r="U22" i="8" s="1"/>
  <c r="S23" i="8"/>
  <c r="U23" i="8" s="1"/>
  <c r="S24" i="8"/>
  <c r="U24" i="8" s="1"/>
  <c r="S25" i="8"/>
  <c r="U25" i="8" s="1"/>
  <c r="S26" i="8"/>
  <c r="U26" i="8" s="1"/>
  <c r="S27" i="8"/>
  <c r="U27" i="8" s="1"/>
  <c r="S28" i="8"/>
  <c r="U28" i="8" s="1"/>
  <c r="S29" i="8"/>
  <c r="U29" i="8" s="1"/>
  <c r="Q19" i="18" l="1"/>
  <c r="U19" i="18" s="1"/>
  <c r="W19" i="18" s="1"/>
  <c r="O18" i="18"/>
  <c r="O19" i="18"/>
  <c r="O20" i="18"/>
  <c r="O21" i="18"/>
  <c r="O22" i="18"/>
  <c r="O23" i="18"/>
  <c r="Q23" i="18" l="1"/>
  <c r="U23" i="18" s="1"/>
  <c r="W23" i="18" s="1"/>
  <c r="Q18" i="18"/>
  <c r="U18" i="18" s="1"/>
  <c r="W18" i="18" s="1"/>
  <c r="Q21" i="18"/>
  <c r="U21" i="18" s="1"/>
  <c r="W21" i="18" s="1"/>
  <c r="Q22" i="18"/>
  <c r="U22" i="18" s="1"/>
  <c r="W22" i="18" s="1"/>
  <c r="Q20" i="18"/>
  <c r="U20" i="18" s="1"/>
  <c r="W20" i="18" s="1"/>
  <c r="O15" i="6"/>
  <c r="O17" i="6"/>
  <c r="O18" i="6"/>
  <c r="O19" i="6"/>
  <c r="O14" i="6"/>
  <c r="AD14" i="6" l="1"/>
  <c r="AE14" i="6"/>
  <c r="AF14" i="6"/>
  <c r="AG14" i="6"/>
  <c r="AD15" i="6"/>
  <c r="AE15" i="6"/>
  <c r="AF15" i="6"/>
  <c r="AG15" i="6"/>
  <c r="AD17" i="6"/>
  <c r="AE17" i="6"/>
  <c r="AF17" i="6"/>
  <c r="AG17" i="6"/>
  <c r="AD18" i="6"/>
  <c r="AE18" i="6"/>
  <c r="AF18" i="6"/>
  <c r="AG18" i="6"/>
  <c r="AD19" i="6"/>
  <c r="AE19" i="6"/>
  <c r="AF19" i="6"/>
  <c r="AG19" i="6"/>
  <c r="AD20" i="6"/>
  <c r="AE20" i="6"/>
  <c r="AF20" i="6"/>
  <c r="AG20" i="6"/>
  <c r="AD21" i="6"/>
  <c r="AE21" i="6"/>
  <c r="AF21" i="6"/>
  <c r="AG21" i="6"/>
  <c r="AD22" i="6"/>
  <c r="AE22" i="6"/>
  <c r="AF22" i="6"/>
  <c r="AG22" i="6"/>
  <c r="AD23" i="6"/>
  <c r="AE23" i="6"/>
  <c r="AF23" i="6"/>
  <c r="AG23" i="6"/>
  <c r="AD24" i="6"/>
  <c r="AE24" i="6"/>
  <c r="AF24" i="6"/>
  <c r="AG24" i="6"/>
  <c r="AD25" i="6"/>
  <c r="AE25" i="6"/>
  <c r="AF25" i="6"/>
  <c r="AG25" i="6"/>
  <c r="AD26" i="6"/>
  <c r="AE26" i="6"/>
  <c r="AF26" i="6"/>
  <c r="AG26" i="6"/>
  <c r="AD27" i="6"/>
  <c r="AE27" i="6"/>
  <c r="AF27" i="6"/>
  <c r="AG27" i="6"/>
  <c r="AD28" i="6"/>
  <c r="AE28" i="6"/>
  <c r="AF28" i="6"/>
  <c r="AG28" i="6"/>
  <c r="AD29" i="6"/>
  <c r="AE29" i="6"/>
  <c r="AF29" i="6"/>
  <c r="AG29" i="6"/>
  <c r="AD30" i="6"/>
  <c r="AE30" i="6"/>
  <c r="AF30" i="6"/>
  <c r="AG30" i="6"/>
  <c r="AD31" i="6"/>
  <c r="AE31" i="6"/>
  <c r="AF31" i="6"/>
  <c r="AG31" i="6"/>
  <c r="AD32" i="6"/>
  <c r="AE32" i="6"/>
  <c r="AF32" i="6"/>
  <c r="AG32" i="6"/>
  <c r="AD33" i="6"/>
  <c r="AE33" i="6"/>
  <c r="AF33" i="6"/>
  <c r="AG33" i="6"/>
  <c r="AG13" i="6"/>
  <c r="AE13" i="6"/>
  <c r="AD13" i="6"/>
  <c r="AF13" i="6" l="1"/>
  <c r="D8" i="18" l="1"/>
  <c r="D7" i="18"/>
  <c r="I7" i="18"/>
  <c r="I5" i="18"/>
  <c r="I6" i="18"/>
  <c r="R8" i="18"/>
  <c r="R7" i="18"/>
  <c r="Y13" i="18" l="1"/>
  <c r="Z13" i="18"/>
  <c r="AA13" i="18"/>
  <c r="AC13" i="18"/>
  <c r="Y15" i="18"/>
  <c r="Z15" i="18"/>
  <c r="AA15" i="18"/>
  <c r="AC15" i="18"/>
  <c r="Y16" i="18"/>
  <c r="Z16" i="18"/>
  <c r="AA16" i="18"/>
  <c r="AC16" i="18"/>
  <c r="Y17" i="18"/>
  <c r="Z17" i="18"/>
  <c r="AA17" i="18"/>
  <c r="AC17" i="18"/>
  <c r="Q13" i="18" l="1"/>
  <c r="U13" i="18" s="1"/>
  <c r="W13" i="18" s="1"/>
  <c r="Q15" i="18"/>
  <c r="U15" i="18" s="1"/>
  <c r="W15" i="18" s="1"/>
  <c r="Q16" i="18"/>
  <c r="U16" i="18" s="1"/>
  <c r="W16" i="18" s="1"/>
  <c r="Q17" i="18"/>
  <c r="U17" i="18" s="1"/>
  <c r="W17" i="18" s="1"/>
  <c r="O13" i="18"/>
  <c r="AB13" i="18" s="1"/>
  <c r="O15" i="18"/>
  <c r="AB15" i="18" s="1"/>
  <c r="O16" i="18"/>
  <c r="AB16" i="18" s="1"/>
  <c r="O17" i="18"/>
  <c r="AB17" i="18" s="1"/>
  <c r="P13" i="6"/>
  <c r="U13" i="6" s="1"/>
  <c r="W13" i="6" s="1"/>
  <c r="P14" i="6"/>
  <c r="U14" i="6" s="1"/>
  <c r="W14" i="6" s="1"/>
  <c r="P15" i="6"/>
  <c r="U15" i="6" s="1"/>
  <c r="W15" i="6" s="1"/>
  <c r="P17" i="6"/>
  <c r="U17" i="6" s="1"/>
  <c r="W17" i="6" s="1"/>
  <c r="B4" i="25" l="1"/>
  <c r="B4" i="8"/>
  <c r="B4" i="18"/>
  <c r="B4" i="6"/>
  <c r="AC13" i="6" l="1"/>
  <c r="AB13" i="6" s="1"/>
  <c r="AC14" i="6" l="1"/>
  <c r="AC15" i="6"/>
  <c r="AB15" i="6" s="1"/>
  <c r="AC17" i="6"/>
  <c r="AB17" i="6" s="1"/>
  <c r="AC18" i="6"/>
  <c r="AB18" i="6" s="1"/>
  <c r="AC19" i="6"/>
  <c r="AC20" i="6"/>
  <c r="AB20" i="6" s="1"/>
  <c r="AC21" i="6"/>
  <c r="AB21" i="6" s="1"/>
  <c r="AC22" i="6"/>
  <c r="AB22" i="6" s="1"/>
  <c r="AC23" i="6"/>
  <c r="AB23" i="6" s="1"/>
  <c r="AC24" i="6"/>
  <c r="AB24" i="6" s="1"/>
  <c r="AC25" i="6"/>
  <c r="AB25" i="6" s="1"/>
  <c r="AC26" i="6"/>
  <c r="AB26" i="6" s="1"/>
  <c r="AC27" i="6"/>
  <c r="AB27" i="6" s="1"/>
  <c r="AC28" i="6"/>
  <c r="AB28" i="6" s="1"/>
  <c r="AC29" i="6"/>
  <c r="AB29" i="6" s="1"/>
  <c r="AC30" i="6"/>
  <c r="AB30" i="6" s="1"/>
  <c r="AC31" i="6"/>
  <c r="AB31" i="6" s="1"/>
  <c r="AC32" i="6"/>
  <c r="AB32" i="6" s="1"/>
  <c r="AC33" i="6"/>
  <c r="AB33" i="6" s="1"/>
  <c r="P18" i="6"/>
  <c r="U18" i="6" s="1"/>
  <c r="W18" i="6" s="1"/>
  <c r="P19" i="6"/>
  <c r="U19" i="6" s="1"/>
  <c r="W19" i="6" s="1"/>
  <c r="P20" i="6"/>
  <c r="U20" i="6" s="1"/>
  <c r="W20" i="6" s="1"/>
  <c r="P21" i="6"/>
  <c r="U21" i="6" s="1"/>
  <c r="W21" i="6" s="1"/>
  <c r="P22" i="6"/>
  <c r="U22" i="6" s="1"/>
  <c r="W22" i="6" s="1"/>
  <c r="P25" i="6"/>
  <c r="U25" i="6" s="1"/>
  <c r="W25" i="6" s="1"/>
  <c r="P26" i="6"/>
  <c r="U26" i="6" s="1"/>
  <c r="W26" i="6" s="1"/>
  <c r="P27" i="6"/>
  <c r="U27" i="6" s="1"/>
  <c r="W27" i="6" s="1"/>
  <c r="P28" i="6"/>
  <c r="U28" i="6" s="1"/>
  <c r="W28" i="6" s="1"/>
  <c r="P29" i="6"/>
  <c r="U29" i="6" s="1"/>
  <c r="W29" i="6" s="1"/>
  <c r="P30" i="6"/>
  <c r="U30" i="6" s="1"/>
  <c r="W30" i="6" s="1"/>
  <c r="P31" i="6"/>
  <c r="U31" i="6" s="1"/>
  <c r="W31" i="6" s="1"/>
  <c r="P32" i="6"/>
  <c r="U32" i="6" s="1"/>
  <c r="W32" i="6" s="1"/>
  <c r="P33" i="6"/>
  <c r="U33" i="6" s="1"/>
  <c r="W33" i="6" s="1"/>
  <c r="AC12" i="6"/>
  <c r="AB12" i="6" s="1"/>
  <c r="P12" i="6"/>
  <c r="D7" i="6" l="1"/>
  <c r="U12" i="6" l="1"/>
  <c r="W12" i="6" s="1"/>
  <c r="M31" i="25" l="1"/>
  <c r="G31" i="25"/>
  <c r="E31" i="25"/>
  <c r="M30" i="25"/>
  <c r="G30" i="25"/>
  <c r="E30" i="25"/>
  <c r="M29" i="25"/>
  <c r="G29" i="25"/>
  <c r="E29" i="25"/>
  <c r="M28" i="25"/>
  <c r="G28" i="25"/>
  <c r="E28" i="25"/>
  <c r="M27" i="25"/>
  <c r="G27" i="25"/>
  <c r="E27" i="25"/>
  <c r="M26" i="25"/>
  <c r="G26" i="25"/>
  <c r="E26" i="25"/>
  <c r="M25" i="25"/>
  <c r="G25" i="25"/>
  <c r="E25" i="25"/>
  <c r="M21" i="25"/>
  <c r="E21" i="25"/>
  <c r="M20" i="25"/>
  <c r="G20" i="25"/>
  <c r="E20" i="25"/>
  <c r="M19" i="25"/>
  <c r="G19" i="25"/>
  <c r="E19" i="25"/>
  <c r="M18" i="25"/>
  <c r="G18" i="25"/>
  <c r="E18" i="25"/>
  <c r="M17" i="25"/>
  <c r="G17" i="25"/>
  <c r="E17" i="25"/>
  <c r="M16" i="25"/>
  <c r="G16" i="25"/>
  <c r="E16" i="25"/>
  <c r="M15" i="25"/>
  <c r="G15" i="25"/>
  <c r="E15" i="25"/>
  <c r="R8" i="25"/>
  <c r="J8" i="25"/>
  <c r="D8" i="25"/>
  <c r="R7" i="25"/>
  <c r="J7" i="25"/>
  <c r="D7" i="25"/>
  <c r="R6" i="25"/>
  <c r="J6" i="25"/>
  <c r="D6" i="25"/>
  <c r="R5" i="25"/>
  <c r="J5" i="25"/>
  <c r="D5" i="25"/>
  <c r="S36" i="8"/>
  <c r="S35" i="8"/>
  <c r="S34" i="8"/>
  <c r="X31" i="8"/>
  <c r="W31" i="8"/>
  <c r="T31" i="8"/>
  <c r="S31" i="8"/>
  <c r="X30" i="8"/>
  <c r="W30" i="8"/>
  <c r="T30" i="8"/>
  <c r="S30" i="8"/>
  <c r="U30" i="8" s="1"/>
  <c r="X29" i="8"/>
  <c r="W29" i="8"/>
  <c r="T29" i="8"/>
  <c r="X18" i="8"/>
  <c r="W18" i="8"/>
  <c r="T18" i="8"/>
  <c r="S18" i="8"/>
  <c r="U18" i="8" s="1"/>
  <c r="X17" i="8"/>
  <c r="W17" i="8"/>
  <c r="T17" i="8"/>
  <c r="S17" i="8"/>
  <c r="U17" i="8" s="1"/>
  <c r="X16" i="8"/>
  <c r="W16" i="8"/>
  <c r="T16" i="8"/>
  <c r="S16" i="8"/>
  <c r="U16" i="8" s="1"/>
  <c r="X15" i="8"/>
  <c r="W15" i="8"/>
  <c r="S14" i="8"/>
  <c r="X13" i="8"/>
  <c r="W13" i="8"/>
  <c r="S13" i="8"/>
  <c r="T13" i="8" s="1"/>
  <c r="X12" i="8"/>
  <c r="W12" i="8"/>
  <c r="T12" i="8"/>
  <c r="S12" i="8"/>
  <c r="R8" i="8"/>
  <c r="J8" i="8"/>
  <c r="E8" i="8"/>
  <c r="R7" i="8"/>
  <c r="J7" i="8"/>
  <c r="E7" i="8"/>
  <c r="R6" i="8"/>
  <c r="J6" i="8"/>
  <c r="E6" i="8"/>
  <c r="R5" i="8"/>
  <c r="J5" i="8"/>
  <c r="E5" i="8"/>
  <c r="K38" i="18"/>
  <c r="K37" i="18"/>
  <c r="K36" i="18"/>
  <c r="AC33" i="18"/>
  <c r="AA33" i="18"/>
  <c r="Z33" i="18"/>
  <c r="Y33" i="18"/>
  <c r="Q33" i="18"/>
  <c r="U33" i="18" s="1"/>
  <c r="W33" i="18" s="1"/>
  <c r="O33" i="18"/>
  <c r="AB33" i="18" s="1"/>
  <c r="AC32" i="18"/>
  <c r="AA32" i="18"/>
  <c r="Z32" i="18"/>
  <c r="Y32" i="18"/>
  <c r="AB32" i="18"/>
  <c r="AC23" i="18"/>
  <c r="AA23" i="18"/>
  <c r="Z23" i="18"/>
  <c r="Y23" i="18"/>
  <c r="AB23" i="18"/>
  <c r="AC22" i="18"/>
  <c r="AA22" i="18"/>
  <c r="Z22" i="18"/>
  <c r="Y22" i="18"/>
  <c r="AB22" i="18"/>
  <c r="AC18" i="18"/>
  <c r="AA18" i="18"/>
  <c r="Z18" i="18"/>
  <c r="Y18" i="18"/>
  <c r="AB18" i="18"/>
  <c r="AC12" i="18"/>
  <c r="AA12" i="18"/>
  <c r="Z12" i="18"/>
  <c r="Y12" i="18"/>
  <c r="Q12" i="18"/>
  <c r="U12" i="18" s="1"/>
  <c r="W12" i="18" s="1"/>
  <c r="O12" i="18"/>
  <c r="AB12" i="18" s="1"/>
  <c r="I8" i="18"/>
  <c r="R6" i="18"/>
  <c r="D6" i="18"/>
  <c r="R5" i="18"/>
  <c r="D5" i="18"/>
  <c r="K38" i="6"/>
  <c r="K37" i="6"/>
  <c r="K36" i="6"/>
  <c r="AG12" i="6"/>
  <c r="AF12" i="6"/>
  <c r="AE12" i="6"/>
  <c r="AD12" i="6"/>
  <c r="S8" i="6"/>
  <c r="J8" i="6"/>
  <c r="D8" i="6"/>
  <c r="S7" i="6"/>
  <c r="J7" i="6"/>
  <c r="S6" i="6"/>
  <c r="J6" i="6"/>
  <c r="D6" i="6"/>
  <c r="S5" i="6"/>
  <c r="J5" i="6"/>
  <c r="D5" i="6"/>
  <c r="AI1" i="6"/>
  <c r="O37" i="6"/>
  <c r="N38" i="18"/>
  <c r="O37" i="18"/>
  <c r="L38" i="6"/>
  <c r="AB38" i="6"/>
  <c r="U37" i="18"/>
  <c r="AB37" i="6"/>
  <c r="U36" i="8"/>
  <c r="M36" i="6"/>
  <c r="N36" i="6"/>
  <c r="N38" i="6"/>
  <c r="N37" i="18"/>
  <c r="M37" i="18"/>
  <c r="N36" i="18"/>
  <c r="T35" i="8"/>
  <c r="O38" i="6"/>
  <c r="M38" i="6"/>
  <c r="L36" i="6"/>
  <c r="AB36" i="6"/>
  <c r="N37" i="6"/>
  <c r="T14" i="8" l="1"/>
  <c r="U14" i="8"/>
  <c r="O34" i="2"/>
  <c r="O35" i="2" s="1"/>
  <c r="N17" i="2"/>
  <c r="N15" i="2"/>
  <c r="P14" i="2"/>
  <c r="N14" i="2"/>
  <c r="N26" i="2"/>
  <c r="O15" i="2"/>
  <c r="P15" i="2"/>
  <c r="O26" i="2"/>
  <c r="O12" i="2"/>
  <c r="P10" i="2"/>
  <c r="O10" i="2"/>
  <c r="N10" i="2"/>
  <c r="L38" i="18"/>
  <c r="L37" i="18"/>
  <c r="M36" i="18"/>
  <c r="M37" i="6"/>
  <c r="P38" i="18"/>
  <c r="U34" i="8"/>
  <c r="U38" i="18"/>
  <c r="P37" i="18"/>
  <c r="M38" i="18"/>
  <c r="T36" i="8"/>
  <c r="O36" i="6"/>
  <c r="L37" i="6"/>
  <c r="W37" i="18"/>
  <c r="T34" i="8"/>
  <c r="O38" i="18"/>
  <c r="U35" i="8"/>
  <c r="W38" i="18"/>
  <c r="P34" i="2" l="1"/>
  <c r="P35" i="2" s="1"/>
  <c r="O14" i="2"/>
  <c r="O19" i="2"/>
  <c r="O17" i="2"/>
  <c r="N34" i="2"/>
  <c r="N35" i="2" s="1"/>
  <c r="N19" i="2"/>
  <c r="N12" i="2"/>
  <c r="P36" i="2"/>
  <c r="U38" i="6"/>
  <c r="U37" i="6"/>
  <c r="U36" i="6"/>
  <c r="N11" i="2" l="1"/>
  <c r="N13" i="2" s="1"/>
  <c r="O11" i="2"/>
  <c r="O13" i="2" s="1"/>
  <c r="P11" i="2"/>
  <c r="W36" i="6"/>
  <c r="W38" i="6"/>
  <c r="W37" i="6"/>
  <c r="N18" i="2" l="1"/>
  <c r="N21" i="2" s="1"/>
  <c r="N29" i="2" s="1"/>
  <c r="O18" i="2"/>
  <c r="O21" i="2" s="1"/>
  <c r="O29" i="2" s="1"/>
  <c r="P18" i="2"/>
  <c r="P30" i="2" l="1"/>
  <c r="L36" i="18"/>
  <c r="O36" i="18"/>
  <c r="P36" i="18"/>
  <c r="U36" i="18"/>
  <c r="P12" i="2" l="1"/>
  <c r="P23" i="2" s="1"/>
  <c r="W36" i="18"/>
  <c r="P19" i="2" l="1"/>
  <c r="P13" i="2"/>
  <c r="P21" i="2" l="1"/>
  <c r="P24" i="2" s="1"/>
  <c r="P29" i="2" l="1"/>
  <c r="R30" i="2" l="1"/>
</calcChain>
</file>

<file path=xl/sharedStrings.xml><?xml version="1.0" encoding="utf-8"?>
<sst xmlns="http://schemas.openxmlformats.org/spreadsheetml/2006/main" count="1733" uniqueCount="1055">
  <si>
    <t>Allgemeine Prämissen</t>
  </si>
  <si>
    <t>BMW Group</t>
  </si>
  <si>
    <t>QUOTATION ANALYSIS FORM</t>
  </si>
  <si>
    <t>ENTWURF - VERTRAULICH</t>
  </si>
  <si>
    <t>ZUSAMMENFASSUNG</t>
  </si>
  <si>
    <t>Bearbeiter Lieferant:</t>
  </si>
  <si>
    <t>Teilebenennung:</t>
  </si>
  <si>
    <t>E-Mail:</t>
  </si>
  <si>
    <t>BMW Lieferanten-Nr.:</t>
  </si>
  <si>
    <t>Änderungsindex (AI):</t>
  </si>
  <si>
    <t>Telefon:</t>
  </si>
  <si>
    <t>BMW Projekt:</t>
  </si>
  <si>
    <t>Anfragenummer / Version:</t>
  </si>
  <si>
    <t>Angebotsdatum:</t>
  </si>
  <si>
    <t>BMW Sachnummer:</t>
  </si>
  <si>
    <t>Variante:</t>
  </si>
  <si>
    <t>1.</t>
  </si>
  <si>
    <t>2.</t>
  </si>
  <si>
    <t>Fertigungskosten</t>
  </si>
  <si>
    <t>3.</t>
  </si>
  <si>
    <t>4.</t>
  </si>
  <si>
    <t>5.</t>
  </si>
  <si>
    <t>Prämissen Lieferant</t>
  </si>
  <si>
    <t>6.</t>
  </si>
  <si>
    <t>7.</t>
  </si>
  <si>
    <t>Sonstige Daten</t>
  </si>
  <si>
    <t>Teileabmessungen (LxBxH) [mm]:</t>
  </si>
  <si>
    <t>Teilegewicht unverpackt [kg]:</t>
  </si>
  <si>
    <t>Gesamtgewicht [kg]:</t>
  </si>
  <si>
    <t>Versorgungsart/KOVP Abrufstatus:</t>
  </si>
  <si>
    <t>Entwicklungskosten</t>
  </si>
  <si>
    <t>Erläuterung:</t>
  </si>
  <si>
    <t xml:space="preserve"> Prozessbezeichnung</t>
  </si>
  <si>
    <t xml:space="preserve"> Standort</t>
  </si>
  <si>
    <t xml:space="preserve"> Zykluszeit [s]</t>
  </si>
  <si>
    <t xml:space="preserve"> Teile pro Zyklus</t>
  </si>
  <si>
    <t>Sonderbetriebsmittel</t>
  </si>
  <si>
    <t>Angaben in Angebotswährung</t>
  </si>
  <si>
    <t xml:space="preserve"> Beschaffungswährung BW</t>
  </si>
  <si>
    <t xml:space="preserve"> Wechselkurs [AW/BW]</t>
  </si>
  <si>
    <t xml:space="preserve">     Angaben in Beschaffungswährung</t>
  </si>
  <si>
    <t>Anfragenr. / Version:</t>
  </si>
  <si>
    <t>Serienlaufzeit [Jahre] :</t>
  </si>
  <si>
    <t>Gesamtvolumen gem. Anfrage [Teile]:</t>
  </si>
  <si>
    <t>Peakvolumen Jahr [Teile / Jahr] :</t>
  </si>
  <si>
    <t>EUR</t>
  </si>
  <si>
    <t>Hilfe und Dokumentation</t>
  </si>
  <si>
    <t xml:space="preserve"> Maschinenstundensatz
 MSS [BW/h]</t>
  </si>
  <si>
    <t xml:space="preserve"> Bezeichnung
 Anlage/Maschine/Typ</t>
  </si>
  <si>
    <t xml:space="preserve"> Teilebenennung</t>
  </si>
  <si>
    <t xml:space="preserve"> Technische Funktion
 des Bauteils</t>
  </si>
  <si>
    <t xml:space="preserve"> Lieferant</t>
  </si>
  <si>
    <t xml:space="preserve"> Materialgemeinkosten
 MGK [%]</t>
  </si>
  <si>
    <t>Bearbeiter:</t>
  </si>
  <si>
    <t>8.</t>
  </si>
  <si>
    <t xml:space="preserve"> Angebotswährung AW</t>
  </si>
  <si>
    <t xml:space="preserve"> Standort des Herstellers</t>
  </si>
  <si>
    <t>GESAMTKOSTEN</t>
  </si>
  <si>
    <t>Summen</t>
  </si>
  <si>
    <t>Prämissenblatt</t>
  </si>
  <si>
    <t>Liste der Rohstoffschlüssel</t>
  </si>
  <si>
    <t>Liste der zulässigen Angebotswährungen</t>
  </si>
  <si>
    <t>CAD</t>
  </si>
  <si>
    <t>US</t>
  </si>
  <si>
    <t>US-Dollar</t>
  </si>
  <si>
    <t>USD</t>
  </si>
  <si>
    <t>BRL</t>
  </si>
  <si>
    <t>GBP</t>
  </si>
  <si>
    <t>Britisches Pfund</t>
  </si>
  <si>
    <t>ZAR</t>
  </si>
  <si>
    <t>NOK</t>
  </si>
  <si>
    <t>Norwegische Krone</t>
  </si>
  <si>
    <t>SEK</t>
  </si>
  <si>
    <t>Schwedische Krone</t>
  </si>
  <si>
    <t>CHF</t>
  </si>
  <si>
    <t>Schweizer Franken</t>
  </si>
  <si>
    <t>TRY</t>
  </si>
  <si>
    <t>INR</t>
  </si>
  <si>
    <t>CNY</t>
  </si>
  <si>
    <t>Chinesischer Renminbi</t>
  </si>
  <si>
    <t>KRW</t>
  </si>
  <si>
    <t>JPY</t>
  </si>
  <si>
    <t>NZD</t>
  </si>
  <si>
    <t>AUD</t>
  </si>
  <si>
    <t>Euro</t>
  </si>
  <si>
    <t>RUB</t>
  </si>
  <si>
    <t>Österreich</t>
  </si>
  <si>
    <t>AT</t>
  </si>
  <si>
    <t>Albanien</t>
  </si>
  <si>
    <t>AL</t>
  </si>
  <si>
    <t>Australien</t>
  </si>
  <si>
    <t>AU</t>
  </si>
  <si>
    <t>Belgien</t>
  </si>
  <si>
    <t>BE</t>
  </si>
  <si>
    <t>Bangladesch</t>
  </si>
  <si>
    <t>BD</t>
  </si>
  <si>
    <t>Bulgarien</t>
  </si>
  <si>
    <t>BG</t>
  </si>
  <si>
    <t>Bosnien und Herzegowina</t>
  </si>
  <si>
    <t>BA</t>
  </si>
  <si>
    <t>Brasilien</t>
  </si>
  <si>
    <t>BR</t>
  </si>
  <si>
    <t>Weißrussland</t>
  </si>
  <si>
    <t>BY</t>
  </si>
  <si>
    <t>Kanada</t>
  </si>
  <si>
    <t>CA</t>
  </si>
  <si>
    <t>Schweiz</t>
  </si>
  <si>
    <t>CH</t>
  </si>
  <si>
    <t>China</t>
  </si>
  <si>
    <t>CN</t>
  </si>
  <si>
    <t>Zypern</t>
  </si>
  <si>
    <t>CY</t>
  </si>
  <si>
    <t>Tschechien</t>
  </si>
  <si>
    <t>CZ</t>
  </si>
  <si>
    <t>Deutschland</t>
  </si>
  <si>
    <t>DE</t>
  </si>
  <si>
    <t>Dänemark</t>
  </si>
  <si>
    <t>DK</t>
  </si>
  <si>
    <t>Spanien</t>
  </si>
  <si>
    <t>ES</t>
  </si>
  <si>
    <t>Estland</t>
  </si>
  <si>
    <t>EE</t>
  </si>
  <si>
    <t>Ägypten</t>
  </si>
  <si>
    <t>EG</t>
  </si>
  <si>
    <t>Frankreich</t>
  </si>
  <si>
    <t>FR</t>
  </si>
  <si>
    <t>Finnland</t>
  </si>
  <si>
    <t>FI</t>
  </si>
  <si>
    <t>Großbritannien</t>
  </si>
  <si>
    <t>GB</t>
  </si>
  <si>
    <t>Griechenland</t>
  </si>
  <si>
    <t>GR</t>
  </si>
  <si>
    <t>Ungarn</t>
  </si>
  <si>
    <t>HU</t>
  </si>
  <si>
    <t>Kroatien</t>
  </si>
  <si>
    <t>HR</t>
  </si>
  <si>
    <t>Italien</t>
  </si>
  <si>
    <t>IT</t>
  </si>
  <si>
    <t>Israel</t>
  </si>
  <si>
    <t>IL</t>
  </si>
  <si>
    <t>Indien</t>
  </si>
  <si>
    <t>IN</t>
  </si>
  <si>
    <t>Iran</t>
  </si>
  <si>
    <t>IR</t>
  </si>
  <si>
    <t>Irland</t>
  </si>
  <si>
    <t>IE</t>
  </si>
  <si>
    <t>Island</t>
  </si>
  <si>
    <t>IS</t>
  </si>
  <si>
    <t>Japan</t>
  </si>
  <si>
    <t>JP</t>
  </si>
  <si>
    <t>Luxemburg</t>
  </si>
  <si>
    <t>LU</t>
  </si>
  <si>
    <t>Litauen</t>
  </si>
  <si>
    <t>LT</t>
  </si>
  <si>
    <t>Lettland</t>
  </si>
  <si>
    <t>LV</t>
  </si>
  <si>
    <t>Malta</t>
  </si>
  <si>
    <t>MT</t>
  </si>
  <si>
    <t>Marokko</t>
  </si>
  <si>
    <t>MA</t>
  </si>
  <si>
    <t>Malaysia</t>
  </si>
  <si>
    <t>MY</t>
  </si>
  <si>
    <t>Moldawien</t>
  </si>
  <si>
    <t>MD</t>
  </si>
  <si>
    <t>Mexiko</t>
  </si>
  <si>
    <t>MX</t>
  </si>
  <si>
    <t>Mazedonien</t>
  </si>
  <si>
    <t>MK</t>
  </si>
  <si>
    <t>Montenegro</t>
  </si>
  <si>
    <t>ME</t>
  </si>
  <si>
    <t>Norwegen</t>
  </si>
  <si>
    <t>NO</t>
  </si>
  <si>
    <t>Niederlande</t>
  </si>
  <si>
    <t>NL</t>
  </si>
  <si>
    <t>Neuseeland</t>
  </si>
  <si>
    <t>NZ</t>
  </si>
  <si>
    <t>Portugal</t>
  </si>
  <si>
    <t>PT</t>
  </si>
  <si>
    <t>Pakistan</t>
  </si>
  <si>
    <t>PK</t>
  </si>
  <si>
    <t>Polen</t>
  </si>
  <si>
    <t>PL</t>
  </si>
  <si>
    <t>Argentinien</t>
  </si>
  <si>
    <t>AR</t>
  </si>
  <si>
    <t>Taiwan</t>
  </si>
  <si>
    <t>TW</t>
  </si>
  <si>
    <t>Indonesien</t>
  </si>
  <si>
    <t>ID</t>
  </si>
  <si>
    <t>Rumänien</t>
  </si>
  <si>
    <t>RO</t>
  </si>
  <si>
    <t>Südkorea</t>
  </si>
  <si>
    <t>KR</t>
  </si>
  <si>
    <t>Uruguay</t>
  </si>
  <si>
    <t>UY</t>
  </si>
  <si>
    <t>Philippinen</t>
  </si>
  <si>
    <t>PH</t>
  </si>
  <si>
    <t>Russland</t>
  </si>
  <si>
    <t>RU</t>
  </si>
  <si>
    <t>Schweden</t>
  </si>
  <si>
    <t>SE</t>
  </si>
  <si>
    <t>Slowakei</t>
  </si>
  <si>
    <t>SK</t>
  </si>
  <si>
    <t>Slowenien</t>
  </si>
  <si>
    <t>SI</t>
  </si>
  <si>
    <t>Serbien</t>
  </si>
  <si>
    <t>RS</t>
  </si>
  <si>
    <t>Thailand</t>
  </si>
  <si>
    <t>TH</t>
  </si>
  <si>
    <t>Tunesien</t>
  </si>
  <si>
    <t>TN</t>
  </si>
  <si>
    <t>Türkei</t>
  </si>
  <si>
    <t>TR</t>
  </si>
  <si>
    <t>Ukraine</t>
  </si>
  <si>
    <t>UA</t>
  </si>
  <si>
    <t>USA</t>
  </si>
  <si>
    <t>Vietnam</t>
  </si>
  <si>
    <t>VN</t>
  </si>
  <si>
    <t>Südafrika</t>
  </si>
  <si>
    <t>ZA</t>
  </si>
  <si>
    <t>xx</t>
  </si>
  <si>
    <t>Weiteres Land</t>
  </si>
  <si>
    <t>yy</t>
  </si>
  <si>
    <t>zz</t>
  </si>
  <si>
    <t xml:space="preserve">    Angaben in Angebotswährung</t>
  </si>
  <si>
    <t>EGP</t>
  </si>
  <si>
    <t>ALL</t>
  </si>
  <si>
    <t>Iso-Währungs-code</t>
  </si>
  <si>
    <t>ARS</t>
  </si>
  <si>
    <t>BDT</t>
  </si>
  <si>
    <t>BAM</t>
  </si>
  <si>
    <t>BGN</t>
  </si>
  <si>
    <t>DKK</t>
  </si>
  <si>
    <t>Venezuela</t>
  </si>
  <si>
    <t>Monaco</t>
  </si>
  <si>
    <t>NEK</t>
  </si>
  <si>
    <t>ISK</t>
  </si>
  <si>
    <t>PLN</t>
  </si>
  <si>
    <t>CZK</t>
  </si>
  <si>
    <t>HUF</t>
  </si>
  <si>
    <t>RON</t>
  </si>
  <si>
    <t>HRK</t>
  </si>
  <si>
    <t>RSD</t>
  </si>
  <si>
    <t>LVL</t>
  </si>
  <si>
    <t>LTL</t>
  </si>
  <si>
    <t>Liechtenstein</t>
  </si>
  <si>
    <t>UAH</t>
  </si>
  <si>
    <t>Saudi-Arabien</t>
  </si>
  <si>
    <t>SAR</t>
  </si>
  <si>
    <t>VEF</t>
  </si>
  <si>
    <t>Dubai</t>
  </si>
  <si>
    <t>UAE</t>
  </si>
  <si>
    <t>ILS</t>
  </si>
  <si>
    <t>MAD</t>
  </si>
  <si>
    <t>MXN</t>
  </si>
  <si>
    <t>TND</t>
  </si>
  <si>
    <t>MYR</t>
  </si>
  <si>
    <t>Singapur</t>
  </si>
  <si>
    <t>SGD</t>
  </si>
  <si>
    <t>PHP</t>
  </si>
  <si>
    <t>THB</t>
  </si>
  <si>
    <t>VND</t>
  </si>
  <si>
    <t>Kambodscha</t>
  </si>
  <si>
    <t>KHR</t>
  </si>
  <si>
    <t>IDR</t>
  </si>
  <si>
    <t>TWD</t>
  </si>
  <si>
    <t>Vatikanstadt</t>
  </si>
  <si>
    <t>VA</t>
  </si>
  <si>
    <t>IRR</t>
  </si>
  <si>
    <t>MKD</t>
  </si>
  <si>
    <t>MDL</t>
  </si>
  <si>
    <t>PKR</t>
  </si>
  <si>
    <t>UYU</t>
  </si>
  <si>
    <t>BYR</t>
  </si>
  <si>
    <t>VE</t>
  </si>
  <si>
    <t>SA</t>
  </si>
  <si>
    <t>LI</t>
  </si>
  <si>
    <t>MC</t>
  </si>
  <si>
    <t>SG</t>
  </si>
  <si>
    <t>KH</t>
  </si>
  <si>
    <t>Länderliste</t>
  </si>
  <si>
    <t>Anbieter/Lieferant:</t>
  </si>
  <si>
    <t>Arbeitsstunden / Jahr [h]:</t>
  </si>
  <si>
    <t xml:space="preserve"> Auftragszeit [Wochen]</t>
  </si>
  <si>
    <t>Fertigungslosgröße [Teile]:</t>
  </si>
  <si>
    <t>Plankapazität [Teile / Jahr] :</t>
  </si>
  <si>
    <t xml:space="preserve"> Kapazität je AT  [Teile]
 1-Schicht</t>
  </si>
  <si>
    <t xml:space="preserve"> Kapazität je AT  [Teile]
 2-Schicht</t>
  </si>
  <si>
    <t xml:space="preserve"> Kapazität je AT  [Teile]
 3-Schicht</t>
  </si>
  <si>
    <t>ISO-Ländercode</t>
  </si>
  <si>
    <t>SEKOF und Folgewerkzeuge</t>
  </si>
  <si>
    <t>AE</t>
  </si>
  <si>
    <t xml:space="preserve"> Mengeneinheit</t>
  </si>
  <si>
    <t>Blaswerkzeug</t>
  </si>
  <si>
    <t>Konfektionswerkzeug</t>
  </si>
  <si>
    <t>Druckgusswerkzeug</t>
  </si>
  <si>
    <t>Kernkasten</t>
  </si>
  <si>
    <t>Stanzentgratwerkzeug</t>
  </si>
  <si>
    <t>Sinterwerkzeug</t>
  </si>
  <si>
    <t>Sprühformwerkzeug</t>
  </si>
  <si>
    <t>Strangpressdüse</t>
  </si>
  <si>
    <t>Extrudierwerkzeug</t>
  </si>
  <si>
    <t>Ziehwerkzeug</t>
  </si>
  <si>
    <t>Nachformwerkzeug</t>
  </si>
  <si>
    <t>Feinguss</t>
  </si>
  <si>
    <t xml:space="preserve">Kokillenwerkzeug </t>
  </si>
  <si>
    <t>Platinenschnitt</t>
  </si>
  <si>
    <t>Preformwerkzeug</t>
  </si>
  <si>
    <t>Presswerkzeug (ausgenommen Metall)</t>
  </si>
  <si>
    <t>Sandguss</t>
  </si>
  <si>
    <t>Vulkanisationswerkzeug</t>
  </si>
  <si>
    <t>Beschreibung</t>
  </si>
  <si>
    <t>Werkzeugarten- nummer</t>
  </si>
  <si>
    <t>10.</t>
  </si>
  <si>
    <t xml:space="preserve"> Maschinenkosten
 Angebot [AW]</t>
  </si>
  <si>
    <t xml:space="preserve"> Restfertigungsgemein-
 kosten Angebot [AW]</t>
  </si>
  <si>
    <t xml:space="preserve"> Fertigungseinzel-
 kosten Angebot [AW]</t>
  </si>
  <si>
    <t xml:space="preserve"> Anzahl direkte Mitarbeiter</t>
  </si>
  <si>
    <t xml:space="preserve"> Rohstoffschlüssel</t>
  </si>
  <si>
    <t xml:space="preserve"> Einsatzmenge [Einheiten]
 (nur Rohmaterial)</t>
  </si>
  <si>
    <t xml:space="preserve"> Materialkosten [AW]</t>
  </si>
  <si>
    <t xml:space="preserve"> Werkzeug-/
 Vorrichtungsart</t>
  </si>
  <si>
    <t xml:space="preserve"> Nettomenge [Einheiten]
 (nur Rohmaterial)</t>
  </si>
  <si>
    <t xml:space="preserve"> Materialgemeinkosten
 Angebot [AW]</t>
  </si>
  <si>
    <t>Schichten / Woche:</t>
  </si>
  <si>
    <t>Produktionsstart (SOP) [mm.jjjj] :</t>
  </si>
  <si>
    <t>Werkzeugliste SEKOF</t>
  </si>
  <si>
    <t>SBM</t>
  </si>
  <si>
    <t>SEKOF</t>
  </si>
  <si>
    <t>Folgewerkzeug</t>
  </si>
  <si>
    <t xml:space="preserve"> WAF vorhanden [ja/nein]</t>
  </si>
  <si>
    <t>Lieferbedingungen:</t>
  </si>
  <si>
    <t>Enthaltene Verpackung und Transport</t>
  </si>
  <si>
    <t>Enthaltene Zölle</t>
  </si>
  <si>
    <t>Zölle  Lieferant - BMW</t>
  </si>
  <si>
    <t>Transportkosten  Lieferant - BMW</t>
  </si>
  <si>
    <t>Stück (Kaufteil)</t>
  </si>
  <si>
    <t>Prämie (kg)</t>
  </si>
  <si>
    <t>Materialkosten</t>
  </si>
  <si>
    <t xml:space="preserve"> Verpackungskosten [AW]
 Angebot</t>
  </si>
  <si>
    <t xml:space="preserve"> Transportkosten
 Angebot [AW]</t>
  </si>
  <si>
    <t xml:space="preserve"> Zollkosten
 Angebot [AW]</t>
  </si>
  <si>
    <t xml:space="preserve"> Verpackungskosten
 je Mengeneinheit [AW]</t>
  </si>
  <si>
    <t xml:space="preserve"> Transportkosten
 je Mengeneinheit [AW]</t>
  </si>
  <si>
    <t xml:space="preserve"> Zollkosten 
 je Mengeneinheit [AW]</t>
  </si>
  <si>
    <t>Befüllung nach Vorgabe BMW Einkauf</t>
  </si>
  <si>
    <t>Beschaffungswährung</t>
  </si>
  <si>
    <t xml:space="preserve"> Fertigungseinzelkosten
 FEK [BW]</t>
  </si>
  <si>
    <t xml:space="preserve"> Restfertigungsgemeinkosten
 (RFGK) Stundensatz [BW/h]</t>
  </si>
  <si>
    <t xml:space="preserve"> Personalkosten
 Angebot [AW]</t>
  </si>
  <si>
    <t xml:space="preserve"> Fertigungskosten FK [AW]</t>
  </si>
  <si>
    <t>Aufspannvorrichtung BAZ</t>
  </si>
  <si>
    <t>Beflockungsaufnahme</t>
  </si>
  <si>
    <t>Galvanikgestelle</t>
  </si>
  <si>
    <t>Lötrahmen</t>
  </si>
  <si>
    <t>Maskieren</t>
  </si>
  <si>
    <t>Montagevorrichtungen aller Art</t>
  </si>
  <si>
    <t>NC-Programme aller Art</t>
  </si>
  <si>
    <t>Poliervorrichtung</t>
  </si>
  <si>
    <t>Rollensatz</t>
  </si>
  <si>
    <t>Siebdruckschablone</t>
  </si>
  <si>
    <t>Siebe</t>
  </si>
  <si>
    <t>Walzwerkzeug (mit Bauteilbezogener Narbung)</t>
  </si>
  <si>
    <t>Werkstückträger</t>
  </si>
  <si>
    <t>Gesamtschnitt-/ Verbund Werkzeug</t>
  </si>
  <si>
    <t xml:space="preserve">Spritzgießwerkzeug </t>
  </si>
  <si>
    <t>Streckbiegewerkzeug</t>
  </si>
  <si>
    <t>kg</t>
  </si>
  <si>
    <t>g</t>
  </si>
  <si>
    <t>m</t>
  </si>
  <si>
    <t>mm</t>
  </si>
  <si>
    <t>l</t>
  </si>
  <si>
    <t xml:space="preserve"> Materialausschuss [%]</t>
  </si>
  <si>
    <t>Material</t>
  </si>
  <si>
    <t>Fertigung</t>
  </si>
  <si>
    <t>Ausschusskosten</t>
  </si>
  <si>
    <t>Fertigungsstandort (Land / Ort):</t>
  </si>
  <si>
    <t>Maschine</t>
  </si>
  <si>
    <t>ja</t>
  </si>
  <si>
    <t>nein</t>
  </si>
  <si>
    <t>Verpackung</t>
  </si>
  <si>
    <t>Transport</t>
  </si>
  <si>
    <t>Zoll</t>
  </si>
  <si>
    <t>MGK</t>
  </si>
  <si>
    <t>Ausschuss</t>
  </si>
  <si>
    <t>Personal</t>
  </si>
  <si>
    <t>FEK</t>
  </si>
  <si>
    <t>(1.+ 2.+ 3.+ 4.+ 5.)</t>
  </si>
  <si>
    <t xml:space="preserve"> Materialkosten
 pro Mengeneinheit [AW]</t>
  </si>
  <si>
    <t xml:space="preserve"> Anzahl Werkzeuge /
 Vorrichtungen</t>
  </si>
  <si>
    <t>ANGEBOTSPREIS</t>
  </si>
  <si>
    <t>ANGEBOTSBASISPREIS</t>
  </si>
  <si>
    <t>(1.+ 2.)</t>
  </si>
  <si>
    <t xml:space="preserve"> Ausschuss pro
 Prozessschritt [%]</t>
  </si>
  <si>
    <t xml:space="preserve"> Auslegung / Kavitäten [x-fach]</t>
  </si>
  <si>
    <t>QAF Version 8 © BMW AG</t>
  </si>
  <si>
    <t xml:space="preserve"> Anzahl pro Angebotsteil</t>
  </si>
  <si>
    <t xml:space="preserve"> Verrechnungsform</t>
  </si>
  <si>
    <t xml:space="preserve"> Benennung
 Rohmaterial / Kaufteil</t>
  </si>
  <si>
    <t xml:space="preserve"> Fertigungskosten FK [BW]</t>
  </si>
  <si>
    <t xml:space="preserve">    Angaben in Beschaffungswährung</t>
  </si>
  <si>
    <t xml:space="preserve"> Summe Werkzeug- /
 Vorrichtungskosten [AW]</t>
  </si>
  <si>
    <t xml:space="preserve"> Summe Werkzeug- /
 Vorrichtungskosten
 SBM [AW]</t>
  </si>
  <si>
    <t>Werkzeugliste SBM bzw. Folgewerkzeuge</t>
  </si>
  <si>
    <t>Einheitenliste Material</t>
  </si>
  <si>
    <t>Liste Ja / Nein</t>
  </si>
  <si>
    <t xml:space="preserve"> Ausschusskosten
 Material [AW]</t>
  </si>
  <si>
    <t xml:space="preserve"> Ausschusskosten
 Fertigung [AW]</t>
  </si>
  <si>
    <t>SUMME HERSTELLKOSTEN</t>
  </si>
  <si>
    <t>Warmpressen (Schmieden)</t>
  </si>
  <si>
    <t>Kaltpressen (Massivumformen)</t>
  </si>
  <si>
    <t>Prüfaufnahme/-Vorrichtungen spezifisch</t>
  </si>
  <si>
    <t>Zusätzliche Zeile: Leerzeile kopieren und vor letzter Zeile einfügen</t>
  </si>
  <si>
    <t xml:space="preserve"> Bemerkung</t>
  </si>
  <si>
    <t>Rüsten</t>
  </si>
  <si>
    <t xml:space="preserve"> Rüstkosten [AW]</t>
  </si>
  <si>
    <t xml:space="preserve"> Rüstkosten pro Stück [BW]</t>
  </si>
  <si>
    <t>Werkzeug-
verrechnungsform</t>
  </si>
  <si>
    <t>RFGK</t>
  </si>
  <si>
    <t xml:space="preserve"> Positionsnummer
 Fertigungsschritt</t>
  </si>
  <si>
    <t>Verrechnungsform</t>
  </si>
  <si>
    <t>Beschneide -/ Lochwerkzeug</t>
  </si>
  <si>
    <t>Biegewerkzeug(z.B.Rohrbiegen)</t>
  </si>
  <si>
    <t>Direktes / Indirektes Warmumformwerkzeug</t>
  </si>
  <si>
    <t>Elastomerpresswerkzeug</t>
  </si>
  <si>
    <t>Feinschneidwerkzeug</t>
  </si>
  <si>
    <t>Folgeverbundwerkzeug</t>
  </si>
  <si>
    <t>Galvanowerkzeug</t>
  </si>
  <si>
    <t>Hinterschäumwerkzeuge / -form</t>
  </si>
  <si>
    <t>IHU-Werkzeug</t>
  </si>
  <si>
    <t xml:space="preserve">Kaschier-Umbugwerkzeug für Standard M. </t>
  </si>
  <si>
    <t>RTM-Werkzeug(Harzinjektor)</t>
  </si>
  <si>
    <t>Schäumform</t>
  </si>
  <si>
    <t>Schweißwerkzeug für Standardmaschine</t>
  </si>
  <si>
    <t>Tubenziehwerkzeug</t>
  </si>
  <si>
    <t>Brechschablone</t>
  </si>
  <si>
    <t>Filmauftragvorrichtung</t>
  </si>
  <si>
    <t>Klebeaufnahme</t>
  </si>
  <si>
    <t>Lackiergestelle/-aufnahmen</t>
  </si>
  <si>
    <t>Mechanisierungszubehör (Greifer,Feeder,Entbutzen)</t>
  </si>
  <si>
    <t>Messaufnahme/-Vorrichtungen spezifisch</t>
  </si>
  <si>
    <t>Schneidaufnahme allgemein</t>
  </si>
  <si>
    <t>Schweißaufnahme/-gestelle</t>
  </si>
  <si>
    <t>Schweißwerkzeug für Sondermaschine</t>
  </si>
  <si>
    <t>Sonderwerkzeug mech. Fertigung</t>
  </si>
  <si>
    <t>Spannvorrichtung mech. Fertigung</t>
  </si>
  <si>
    <t>Stanzwerkzeug für LP-Nutzen</t>
  </si>
  <si>
    <t>Teileförderer bauteilbezogen</t>
  </si>
  <si>
    <t>Transportgestelle,- behälter (Waschen, Wärmebehandeln usw.)</t>
  </si>
  <si>
    <t>Bemerkungen:</t>
  </si>
  <si>
    <t>yd</t>
  </si>
  <si>
    <t>ft</t>
  </si>
  <si>
    <t>in</t>
  </si>
  <si>
    <t>sq.yd</t>
  </si>
  <si>
    <t>sq.ft</t>
  </si>
  <si>
    <t>sq.in</t>
  </si>
  <si>
    <t>m³</t>
  </si>
  <si>
    <t>m²</t>
  </si>
  <si>
    <t>cu.yd</t>
  </si>
  <si>
    <t>cu.ft.</t>
  </si>
  <si>
    <t>cu.in</t>
  </si>
  <si>
    <t>lb</t>
  </si>
  <si>
    <t>oz</t>
  </si>
  <si>
    <t>Einheitenliste
Fläche</t>
  </si>
  <si>
    <t>qm</t>
  </si>
  <si>
    <t>HKD</t>
  </si>
  <si>
    <t>Liste der zulässigen Beschaffungswährungen</t>
  </si>
  <si>
    <t xml:space="preserve"> Plausibilitätsprüfung
 "Verrechnungsform"</t>
  </si>
  <si>
    <t xml:space="preserve"> Plausibilitätsprüfung
 "Werkzeugart"</t>
  </si>
  <si>
    <t>Diadekor/ Diakopie</t>
  </si>
  <si>
    <t>Glaspressform (Pressbiegeform)</t>
  </si>
  <si>
    <t>Lew</t>
  </si>
  <si>
    <t>Dänische Krone</t>
  </si>
  <si>
    <t>Ägyptische Pfund</t>
  </si>
  <si>
    <t>Hongkong Dollar</t>
  </si>
  <si>
    <t>Philippinische Peso</t>
  </si>
  <si>
    <t>Leu</t>
  </si>
  <si>
    <t>Riyal</t>
  </si>
  <si>
    <t>Taiwan Dollar</t>
  </si>
  <si>
    <t>Australische Dollar</t>
  </si>
  <si>
    <t>Tschechische Krone</t>
  </si>
  <si>
    <t>Forint</t>
  </si>
  <si>
    <t>Rupiah</t>
  </si>
  <si>
    <t>Rupie</t>
  </si>
  <si>
    <t>Yen</t>
  </si>
  <si>
    <t>Won</t>
  </si>
  <si>
    <t>Ringgit</t>
  </si>
  <si>
    <t>Złoty</t>
  </si>
  <si>
    <t>Rubel</t>
  </si>
  <si>
    <t>Singapur Dollar</t>
  </si>
  <si>
    <t>Baht</t>
  </si>
  <si>
    <t>Argentinische Peso</t>
  </si>
  <si>
    <t>Mexikanische Peso</t>
  </si>
  <si>
    <t>Rand</t>
  </si>
  <si>
    <t>1. (Bestell-) Währung 1 [AW1]:</t>
  </si>
  <si>
    <t>Währungen</t>
  </si>
  <si>
    <t>Türkische Lira</t>
  </si>
  <si>
    <t>Canadische Dollar</t>
  </si>
  <si>
    <t>Brasilianische Real</t>
  </si>
  <si>
    <t>Wechselkurse zur Bestell-
währung [AW1]
(rein informativ)</t>
  </si>
  <si>
    <t>Preisindikation in Bestellwährung [AW1]</t>
  </si>
  <si>
    <t>VERTRAULICH</t>
  </si>
  <si>
    <t>AL01</t>
  </si>
  <si>
    <t>AL02</t>
  </si>
  <si>
    <t>AL03</t>
  </si>
  <si>
    <t>AL04</t>
  </si>
  <si>
    <t>KU01</t>
  </si>
  <si>
    <t>KU02</t>
  </si>
  <si>
    <t>KU03</t>
  </si>
  <si>
    <t>KU04</t>
  </si>
  <si>
    <t>KU05</t>
  </si>
  <si>
    <t>KU06</t>
  </si>
  <si>
    <t>KU07</t>
  </si>
  <si>
    <t>KU08</t>
  </si>
  <si>
    <t>KU09</t>
  </si>
  <si>
    <t>KU10</t>
  </si>
  <si>
    <t>KU11</t>
  </si>
  <si>
    <t>KU12</t>
  </si>
  <si>
    <t>KU13</t>
  </si>
  <si>
    <t>KU14</t>
  </si>
  <si>
    <t>KU15</t>
  </si>
  <si>
    <t>KU99</t>
  </si>
  <si>
    <t>SO01</t>
  </si>
  <si>
    <t>SO02</t>
  </si>
  <si>
    <t>SO03</t>
  </si>
  <si>
    <t>SO04</t>
  </si>
  <si>
    <t>SO05</t>
  </si>
  <si>
    <t>SO06</t>
  </si>
  <si>
    <t>SO07</t>
  </si>
  <si>
    <t>SO08</t>
  </si>
  <si>
    <t>SO09</t>
  </si>
  <si>
    <t>SO20</t>
  </si>
  <si>
    <t>SO23</t>
  </si>
  <si>
    <t>SO24</t>
  </si>
  <si>
    <t>SO30</t>
  </si>
  <si>
    <t>SO31</t>
  </si>
  <si>
    <t>SO99</t>
  </si>
  <si>
    <t>ST01</t>
  </si>
  <si>
    <t>ST02</t>
  </si>
  <si>
    <t>ST03</t>
  </si>
  <si>
    <t>ST04</t>
  </si>
  <si>
    <t>ST05</t>
  </si>
  <si>
    <t>ST06</t>
  </si>
  <si>
    <t>ST07</t>
  </si>
  <si>
    <t>ST08</t>
  </si>
  <si>
    <t>ST09</t>
  </si>
  <si>
    <t>ST10</t>
  </si>
  <si>
    <t>ST11</t>
  </si>
  <si>
    <t>ST12</t>
  </si>
  <si>
    <t>ST30</t>
  </si>
  <si>
    <t>ST99</t>
  </si>
  <si>
    <t>ALUMINIUM</t>
  </si>
  <si>
    <t>ALUMINIUM SCHROTT</t>
  </si>
  <si>
    <t>ALUMINIUM SCHROTT 2</t>
  </si>
  <si>
    <t>REINALUMINIUMPRAEMIE (ECDP/ECDU)</t>
  </si>
  <si>
    <t>Kunststoff-ABS,</t>
  </si>
  <si>
    <t>Kunststoff-ABS-PC,</t>
  </si>
  <si>
    <t>Kunststoff-PVC,</t>
  </si>
  <si>
    <t>KUNSTSTOFF-PA,</t>
  </si>
  <si>
    <t>Kunststoff-POM,</t>
  </si>
  <si>
    <t>KUNSTSTOFF-PP-TVXX,</t>
  </si>
  <si>
    <t>KUNSTSTOFF-PP, -</t>
  </si>
  <si>
    <t>Kunststoff-PP-GFxx,</t>
  </si>
  <si>
    <t>Kunststoff-PE,</t>
  </si>
  <si>
    <t>Kunststoff-Polyol,</t>
  </si>
  <si>
    <t>KUNSTSTOFF-MDI,</t>
  </si>
  <si>
    <t>Kunststoff-EPDM,</t>
  </si>
  <si>
    <t>Kunststoff-Naturkautschuk</t>
  </si>
  <si>
    <t>EPOXIDHARZ</t>
  </si>
  <si>
    <t>SYNTHESEKAUTSCHUK</t>
  </si>
  <si>
    <t>Kunststoff-Allgemein</t>
  </si>
  <si>
    <t>KUPFER,</t>
  </si>
  <si>
    <t>BLEI,</t>
  </si>
  <si>
    <t>Nickel,</t>
  </si>
  <si>
    <t>Magnesium,</t>
  </si>
  <si>
    <t>GLAS,</t>
  </si>
  <si>
    <t>Fluids,</t>
  </si>
  <si>
    <t>Prozessmaterial</t>
  </si>
  <si>
    <t>FERROCHROM</t>
  </si>
  <si>
    <t>CHROMIUM</t>
  </si>
  <si>
    <t>PLATIN (NUR MG-5)</t>
  </si>
  <si>
    <t>PALLADIUM (NUR MG-5)</t>
  </si>
  <si>
    <t>NEODYM</t>
  </si>
  <si>
    <t>DYSPROSIUM</t>
  </si>
  <si>
    <t>SONSTIGES</t>
  </si>
  <si>
    <t>STAHLBLECH HAUS (HDG)</t>
  </si>
  <si>
    <t>Stahl-Edelstahl (Austenit),</t>
  </si>
  <si>
    <t>Stahl-Edelstahl (Ferrit),</t>
  </si>
  <si>
    <t>Stahl-Eisenguss,</t>
  </si>
  <si>
    <t>Stahl-Schmiedestahl,</t>
  </si>
  <si>
    <t>Stahl-Walzdraht,</t>
  </si>
  <si>
    <t>STAHL- STAHLSCHROTT</t>
  </si>
  <si>
    <t>EDELSTAHL BASISSTAHL</t>
  </si>
  <si>
    <t>STAHLBLECH KAUF (HDG)</t>
  </si>
  <si>
    <t>STAHLBLECH WARMBAND (HRC)</t>
  </si>
  <si>
    <t>STAHLBLECH US (HDG)</t>
  </si>
  <si>
    <t>STAHLBLECH US (HRC)</t>
  </si>
  <si>
    <t>ELEKTROBLECH</t>
  </si>
  <si>
    <t>STAHL-ALLGEMEIN</t>
  </si>
  <si>
    <t>Änderungshistorie</t>
  </si>
  <si>
    <t>Berücksichtigung Rohstoffschlüssel</t>
  </si>
  <si>
    <t>Aktualisierung Formel Preisgleitklausel</t>
  </si>
  <si>
    <t>Berücksichtigung WZ_IH_Kosten</t>
  </si>
  <si>
    <t>"Unnötige Formel" Deckblatt entfernt</t>
  </si>
  <si>
    <t>Albanischer Lek</t>
  </si>
  <si>
    <t>AED</t>
  </si>
  <si>
    <t>VAE Dirham</t>
  </si>
  <si>
    <t>Bosnische Mark</t>
  </si>
  <si>
    <t>Bangladeschischer Taka</t>
  </si>
  <si>
    <t>bulgarischer Lew</t>
  </si>
  <si>
    <t>Weißrussischer Rubel</t>
  </si>
  <si>
    <t>Kroatische Kuna</t>
  </si>
  <si>
    <t>Israelische Schekel</t>
  </si>
  <si>
    <t>Iranischer Rial</t>
  </si>
  <si>
    <t>Isländische Krone</t>
  </si>
  <si>
    <t>Kambodschanischer Riel</t>
  </si>
  <si>
    <t>Litauische Litas</t>
  </si>
  <si>
    <t>Lettische Lats</t>
  </si>
  <si>
    <t>Marokkanischer Dirham</t>
  </si>
  <si>
    <t>Moldawischer Leu</t>
  </si>
  <si>
    <t>Mazedonischer Denar</t>
  </si>
  <si>
    <t>Neuseeland-Dollar</t>
  </si>
  <si>
    <t>Pakistanische Rupie</t>
  </si>
  <si>
    <t>Serbischer Dinar</t>
  </si>
  <si>
    <t>Tunesischer Dinar</t>
  </si>
  <si>
    <t>Ukrainische Hrywnja</t>
  </si>
  <si>
    <t>Uruguayischer Peso</t>
  </si>
  <si>
    <t>Venezolanischer Bolivar</t>
  </si>
  <si>
    <t>Vietnamesischer Dong</t>
  </si>
  <si>
    <t>zulässige Beschaffungswährungen aktualisiert</t>
  </si>
  <si>
    <t>Ungarische Forint</t>
  </si>
  <si>
    <t>Indonesische Rupiah</t>
  </si>
  <si>
    <t>Indische Rupie</t>
  </si>
  <si>
    <t>Japanischer YEN</t>
  </si>
  <si>
    <t>Südkoreanischer Won</t>
  </si>
  <si>
    <t>Malayische Ringgit</t>
  </si>
  <si>
    <t>Polnische Złoty</t>
  </si>
  <si>
    <t>Rumänischer Leu</t>
  </si>
  <si>
    <t>Russische Rubel</t>
  </si>
  <si>
    <t>Saudi Rial</t>
  </si>
  <si>
    <t>Thailändische Baht</t>
  </si>
  <si>
    <t>Südafrikanischer Rand</t>
  </si>
  <si>
    <t>WZ_IH_Kosten aus Fertigungskosten entfernt</t>
  </si>
  <si>
    <t>Aktualisierung Plausibilitätsprüfung SEKOF/SBM</t>
  </si>
  <si>
    <t>allgemein</t>
  </si>
  <si>
    <t>Werkzeuginstandhaltung</t>
  </si>
  <si>
    <t>Plausibilitätsprüfung WZ-IH Kosten aktualisiert</t>
  </si>
  <si>
    <t>bedingte Formatierung WZ-IH aktualisiert</t>
  </si>
  <si>
    <t xml:space="preserve"> Standzeit [Zyklen]</t>
  </si>
  <si>
    <t>HK</t>
  </si>
  <si>
    <t xml:space="preserve">        Hilfe und Dokumentation</t>
  </si>
  <si>
    <t xml:space="preserve"> </t>
  </si>
  <si>
    <t xml:space="preserve">   Hilfe und Dokumentation</t>
  </si>
  <si>
    <t>Überarbeitung SBM und SEKOF-Tabellen + Wertebereich</t>
  </si>
  <si>
    <t>SBM Liste in beiden Prämissenblätter gleichgestellt.</t>
  </si>
  <si>
    <t>Löschhinweis in Blatt "SBM Inventarisierung"</t>
  </si>
  <si>
    <t>Schriftart auf BMW Group light umgestellt.</t>
  </si>
  <si>
    <t>Feld Änderungsindex auf "Text formatiert"</t>
  </si>
  <si>
    <t>Spalte "E" in SBM Inventarisierung mit Zeilenumbruch formatiert</t>
  </si>
  <si>
    <t>Verknüpfung SNR mit Zusammenfassungsblatt</t>
  </si>
  <si>
    <t>Ländercode Shanghai ="020" anstatt "20"</t>
  </si>
  <si>
    <t>SNR-Verlinkung mit Zusammenfassungsblatt</t>
  </si>
  <si>
    <r>
      <t>2. Angebotswährung 2 [AW2]</t>
    </r>
    <r>
      <rPr>
        <sz val="8"/>
        <rFont val="BMW Group Light"/>
      </rPr>
      <t xml:space="preserve"> (optional):</t>
    </r>
  </si>
  <si>
    <r>
      <t>3. Angebotswährung 3 [AW3]</t>
    </r>
    <r>
      <rPr>
        <sz val="8"/>
        <rFont val="BMW Group Light"/>
      </rPr>
      <t xml:space="preserve"> (optional):</t>
    </r>
  </si>
  <si>
    <t>Oman</t>
  </si>
  <si>
    <t>OM</t>
  </si>
  <si>
    <t>OMR</t>
  </si>
  <si>
    <t>Hongkong</t>
  </si>
  <si>
    <t>Ländercodes für Dänemark, Finnland und Schweden auf dreistellig umgestellt</t>
  </si>
  <si>
    <t>Verknüpfung für Auswahl "Argentinien" --&gt; Orte richtig gestellt</t>
  </si>
  <si>
    <t>Land "Oman" und "Hongkong" hinzugefügt (inkl. Regionen)</t>
  </si>
  <si>
    <t>LZ</t>
  </si>
  <si>
    <t>Legierungszuschlag</t>
  </si>
  <si>
    <t>Kommentarfelder von Hr. Eibl löschen</t>
  </si>
  <si>
    <t>Format Anfragenummer/Version = Text</t>
  </si>
  <si>
    <t>Benennung der Währungsspalte 2 und 3 auf dem
Zusammenfassungsblatt</t>
  </si>
  <si>
    <t>Text auf links formatiert, Lieferbed. Im Zus.Blatt</t>
  </si>
  <si>
    <t>Zeilenhöhe Z.11 auf Blatt Fertigung erhöht, damit Text von RFGK zweizeilig angezeigt wird.</t>
  </si>
  <si>
    <t>Farbformatierung bei Fertigungsblatt unten bei der Zusammenfassung (Bereiche falsch definiert)</t>
  </si>
  <si>
    <t>SEKOF + 
FWZ + IH</t>
  </si>
  <si>
    <t>Zusammenfassungsblatt, Spalte L verbreitert.</t>
  </si>
  <si>
    <t>Blatt SBM/SEKOF --&gt; Zeilenhöhe Z34 angepasst, Text war nicht vollständig lesbar.</t>
  </si>
  <si>
    <t>Eingabefeld "Änderungsmeldungsnummer" auf Text umformartiert, führende Null wird angezeigt.</t>
  </si>
  <si>
    <t>Feldformatierung von Währungsspalte, die nach auswahl eingeblendet werden richtig gestellt.</t>
  </si>
  <si>
    <t>email-Adresse als Hyperlink anzeigen:
=HYPERLINK(VERKETTEN("mailto:";C6);C6)</t>
  </si>
  <si>
    <t>ALUMINIUM HG 3M SELLER LME (MTZ)</t>
  </si>
  <si>
    <t>KUPFER LME CASH SELLER (MTZ)</t>
  </si>
  <si>
    <t>NICKEL LME CASH SELLER (MTZ)</t>
  </si>
  <si>
    <t>BLEI LME CASH SELLER (MTZ)</t>
  </si>
  <si>
    <t>GIESSEREI STAHLSCHROTT USA (MTZ)</t>
  </si>
  <si>
    <t>STAHLSCHMIEDE-SCHROTTZUSCHLAG (MTZ)</t>
  </si>
  <si>
    <t>Aluminium (LME, Reinrohstoff)</t>
  </si>
  <si>
    <t>Aluminium Schrott 2/Wertverzehr 2</t>
  </si>
  <si>
    <t>Kunststoff Prozessmaterial/Lack</t>
  </si>
  <si>
    <t>Kunststoff Polyacrylnitril</t>
  </si>
  <si>
    <t>Kupfer (LME, Reinrohstoff)</t>
  </si>
  <si>
    <t>Blei (LME, Reinrohstoff)</t>
  </si>
  <si>
    <t>Nickel (LME, Reinrohstoff)</t>
  </si>
  <si>
    <t>Magnesium (Reinrohstoff)</t>
  </si>
  <si>
    <t>Prozessmaterial - sonstige</t>
  </si>
  <si>
    <t>Zinn (Reinrohstoff)</t>
  </si>
  <si>
    <t>Zink (Reinrohstoff)</t>
  </si>
  <si>
    <t>Carbon Black</t>
  </si>
  <si>
    <t>Palladium (oz)</t>
  </si>
  <si>
    <t>Rhodium (oz)</t>
  </si>
  <si>
    <t>Palladium (g)</t>
  </si>
  <si>
    <t>Rhodium (g)</t>
  </si>
  <si>
    <t>Neodym  - Domestic</t>
  </si>
  <si>
    <t>Dysprosium - Domestic</t>
  </si>
  <si>
    <t>Dysprosium - FOB-Preisbasis</t>
  </si>
  <si>
    <t>Sonstige Rohstoffe</t>
  </si>
  <si>
    <t>A013</t>
  </si>
  <si>
    <t>CUCA</t>
  </si>
  <si>
    <t>NICA</t>
  </si>
  <si>
    <t>PBCA</t>
  </si>
  <si>
    <t>SRUS</t>
  </si>
  <si>
    <t>SRZS</t>
  </si>
  <si>
    <t>SRZU</t>
  </si>
  <si>
    <t>KU16</t>
  </si>
  <si>
    <t>KU17</t>
  </si>
  <si>
    <t>SO10</t>
  </si>
  <si>
    <t>SO11</t>
  </si>
  <si>
    <t>SO12</t>
  </si>
  <si>
    <t>SO21</t>
  </si>
  <si>
    <t>SO22</t>
  </si>
  <si>
    <t>SO25</t>
  </si>
  <si>
    <t>SO32</t>
  </si>
  <si>
    <t>SO33</t>
  </si>
  <si>
    <t>Beschreibung Rohstoffschlüssel</t>
  </si>
  <si>
    <t>Anteilsart</t>
  </si>
  <si>
    <t>Hinweismeldung im Blatt "Rohstoffrisiken" zur weiteren Vorgehensweise</t>
  </si>
  <si>
    <t>nicht im 
Material-Blatt</t>
  </si>
  <si>
    <t>x</t>
  </si>
  <si>
    <t>Blatt "Rohstoffrisiken"</t>
  </si>
  <si>
    <t>Blatt "Material"</t>
  </si>
  <si>
    <t>Rohstoffdetaillierung: Befüllung nach Vorgabe BMW Einkauf lt. Anfrageunterlagen</t>
  </si>
  <si>
    <t>Durchschnittszeitraum:</t>
  </si>
  <si>
    <t>Von:</t>
  </si>
  <si>
    <t>Bis:</t>
  </si>
  <si>
    <t xml:space="preserve"> Positionsnummer</t>
  </si>
  <si>
    <t>Ergebnis</t>
  </si>
  <si>
    <t>Kunststoff ABS</t>
  </si>
  <si>
    <t>Kunststoff ABS-PC</t>
  </si>
  <si>
    <t>Kunststoff PVC</t>
  </si>
  <si>
    <t>GIESSEREI STAHLSCHROTT (MTZ)</t>
  </si>
  <si>
    <t>Kunststoff PA</t>
  </si>
  <si>
    <t>Kunststoff POM</t>
  </si>
  <si>
    <t>Kunststoff PP-TVxx</t>
  </si>
  <si>
    <t>Kunststoff PP</t>
  </si>
  <si>
    <t>Kunststoff PP-GFxx</t>
  </si>
  <si>
    <t>Kunststoff PE</t>
  </si>
  <si>
    <t>Kunststoff Polyol</t>
  </si>
  <si>
    <t>Kunststoff MDI</t>
  </si>
  <si>
    <t>Kunststoff EPDM</t>
  </si>
  <si>
    <t>Kunststoff Epoxidharz</t>
  </si>
  <si>
    <t>Glas</t>
  </si>
  <si>
    <t>Fluids, Öl, Kraftstoff</t>
  </si>
  <si>
    <t>Platin (oz)</t>
  </si>
  <si>
    <t>Platin (g)</t>
  </si>
  <si>
    <t>Neodym - FOB-Preisbasis</t>
  </si>
  <si>
    <t>Stahl-Blech (Haus)</t>
  </si>
  <si>
    <t>Stahl-Eisenguss</t>
  </si>
  <si>
    <t>Stahl-Schmiedestahl</t>
  </si>
  <si>
    <t>Stahl-Walzdraht</t>
  </si>
  <si>
    <t>Stahlblech Kauf US (HDG)</t>
  </si>
  <si>
    <t>Stahlblech Warmband US (HRC)</t>
  </si>
  <si>
    <t>Stahl-Elektroblech</t>
  </si>
  <si>
    <t>Stahl-Allgemein</t>
  </si>
  <si>
    <t xml:space="preserve">Aluminium Schrott/Wertverzehr </t>
  </si>
  <si>
    <t>Stahl-Edelstahl Basisstahl</t>
  </si>
  <si>
    <t>Ergänzungsumfänge die sich aus der Hinweismeldung ergeben.</t>
  </si>
  <si>
    <t>Ergänzende Schlüssel</t>
  </si>
  <si>
    <t>MOV</t>
  </si>
  <si>
    <t>PGK</t>
  </si>
  <si>
    <t>MTZ</t>
  </si>
  <si>
    <t>Resale</t>
  </si>
  <si>
    <t>Preisgleitklausel</t>
  </si>
  <si>
    <t>Rohstoff Preisanteil</t>
  </si>
  <si>
    <t>ggf. Detaillierung unten ergänzen mit Stahlschrott (Rückvergütung)</t>
  </si>
  <si>
    <t>Marktorienterte Verhandlung</t>
  </si>
  <si>
    <t>Description Rawmaterial-Code</t>
  </si>
  <si>
    <t>COPPER LME CASH SELLER (MTZ)</t>
  </si>
  <si>
    <t>LEAD LME CASH SELLER (MTZ)</t>
  </si>
  <si>
    <t>CASTING STEEL SCRAP US (MTZ) to.</t>
  </si>
  <si>
    <t>FORGED STEEL SCRAP SURCHARGE (MTZ)</t>
  </si>
  <si>
    <t>CASTING STEEL SCRAP (MTZ) 100kg</t>
  </si>
  <si>
    <t>Aluminium (LME, primary raw material)</t>
  </si>
  <si>
    <t>Aluminium Scrap/Lost value</t>
  </si>
  <si>
    <t>Aluminium Scrap 2/Lost value 2</t>
  </si>
  <si>
    <t xml:space="preserve">Plastics ABS                              </t>
  </si>
  <si>
    <t xml:space="preserve">Plastics ABS-PC                           </t>
  </si>
  <si>
    <t xml:space="preserve">Plastics PVC                              </t>
  </si>
  <si>
    <t xml:space="preserve">Plastics PA                               </t>
  </si>
  <si>
    <t xml:space="preserve">Plastics POM                              </t>
  </si>
  <si>
    <t xml:space="preserve">Plastics PP-TVxx                          </t>
  </si>
  <si>
    <t xml:space="preserve">Plastics PP                               </t>
  </si>
  <si>
    <t xml:space="preserve">Plastics PP-GFxx                          </t>
  </si>
  <si>
    <t xml:space="preserve">Plastics PE                               </t>
  </si>
  <si>
    <t xml:space="preserve">Plastics Polyol                           </t>
  </si>
  <si>
    <t xml:space="preserve">Plastics MDI                              </t>
  </si>
  <si>
    <t xml:space="preserve">Plastics EPDM                             </t>
  </si>
  <si>
    <t>Plastics Epoxy resin</t>
  </si>
  <si>
    <t>Plastics Process material Paintings</t>
  </si>
  <si>
    <t>Plastics Polyacrylnitril</t>
  </si>
  <si>
    <t>Plastics Others</t>
  </si>
  <si>
    <t>Copper (LME, primary raw material)</t>
  </si>
  <si>
    <t>Lead (LME, primary raw material)</t>
  </si>
  <si>
    <t>Nickel (LME, primary raw material)</t>
  </si>
  <si>
    <t>Magnesium (primary raw material)</t>
  </si>
  <si>
    <t xml:space="preserve">Glass               </t>
  </si>
  <si>
    <t>Fluids, oil, fuel</t>
  </si>
  <si>
    <t>Process Material Others</t>
  </si>
  <si>
    <t>Tin (primary raw material)</t>
  </si>
  <si>
    <t>Zinc (primary raw material)</t>
  </si>
  <si>
    <t xml:space="preserve">Platin (oz)            </t>
  </si>
  <si>
    <t xml:space="preserve">Platin (g)            </t>
  </si>
  <si>
    <t>Neodym - FOB price</t>
  </si>
  <si>
    <t>Dysprosium - FOB price</t>
  </si>
  <si>
    <t>Others (raw material)</t>
  </si>
  <si>
    <t xml:space="preserve">Steel sheet (BMW manufacturing)      </t>
  </si>
  <si>
    <t>Steel iron casting</t>
  </si>
  <si>
    <t>Steel Forged steel</t>
  </si>
  <si>
    <t>Steel Wire rod</t>
  </si>
  <si>
    <t>Stainless steel base price</t>
  </si>
  <si>
    <t>Steel Hot dipped galvanized US</t>
  </si>
  <si>
    <t>Steel Hot rolled coil US</t>
  </si>
  <si>
    <t>Steel electrical sheet</t>
  </si>
  <si>
    <t>Steel others</t>
  </si>
  <si>
    <t>Steel alloy surcharge</t>
  </si>
  <si>
    <t>Kunststoff Synthesekautschuk</t>
  </si>
  <si>
    <t>hier Fertiggewicht, ggf. Detaillierung unten  ergänzen mit Aluminium Schrott</t>
  </si>
  <si>
    <t>konstanter Wert, wird bei Rohstoffschwankung nicht angepasst (siehe Ausführungsbeispiel Aluminium)</t>
  </si>
  <si>
    <t>X</t>
  </si>
  <si>
    <t>Fertiggewicht</t>
  </si>
  <si>
    <t>hier als weitere Detaillierung für Stahl- und Gusslegierungselemente</t>
  </si>
  <si>
    <t>Detaillierung unten vornehmen mit Stahl-Edelstahl Basisstahl, Nickel, Ferrochrom</t>
  </si>
  <si>
    <t>hier nur als weitere Detaillierung für Stahl- und Gusslegierungselemente</t>
  </si>
  <si>
    <t>ggf. weitere Ergänzung um Nickel und Ferrochrom</t>
  </si>
  <si>
    <t>als Abschlag für Reststoffvergütung (siehe Ausführungsbeispiel Stahl)</t>
  </si>
  <si>
    <t>Materialteuerungszuschlag</t>
  </si>
  <si>
    <t>Resale-Programm</t>
  </si>
  <si>
    <t>Zur Aktuallisierung der Pivot-Tabelle bitte im Bereich der Tabelle die rechte Maus-Taste drücken --&gt; "Aktualisieren!"</t>
  </si>
  <si>
    <t xml:space="preserve"> Angebotswährung [AW]</t>
  </si>
  <si>
    <t xml:space="preserve"> Beschaffungswährung [BW]</t>
  </si>
  <si>
    <t>In-Circuit-Tester-Adapter (LP) inkl. Software, Funktionsprüfadapter, Endprüfadapter(ZB)</t>
  </si>
  <si>
    <t>Spannvorrichtung</t>
  </si>
  <si>
    <t xml:space="preserve"> Hinweismeldung, bei 
 Detaillierungsbedarf gegenüber
 dem Material-Blatt</t>
  </si>
  <si>
    <t xml:space="preserve"> Schwellwert SW [in%]
 (siehe Anfrageunterlagen)</t>
  </si>
  <si>
    <t xml:space="preserve"> BMW Beteiligungsquote BQ  [in%]
 (siehe Anfrageunterlagen)</t>
  </si>
  <si>
    <r>
      <t xml:space="preserve"> Indexnotierung RoI</t>
    </r>
    <r>
      <rPr>
        <b/>
        <vertAlign val="subscript"/>
        <sz val="10"/>
        <rFont val="BMW Group Light"/>
      </rPr>
      <t>0</t>
    </r>
    <r>
      <rPr>
        <b/>
        <sz val="9"/>
        <rFont val="BMW Group Light"/>
      </rPr>
      <t xml:space="preserve"> [AW/kg]
 im Durchschnittzeitraum</t>
    </r>
  </si>
  <si>
    <t xml:space="preserve"> Indexbezeichnung
 (siehe Anfrageunterlagen)</t>
  </si>
  <si>
    <t xml:space="preserve"> Abwicklungsmodell 
 (siehe Anfrageunterlagen)</t>
  </si>
  <si>
    <r>
      <t xml:space="preserve"> Rohstoff-Zuschlag [AW]
 RoZ</t>
    </r>
    <r>
      <rPr>
        <b/>
        <vertAlign val="subscript"/>
        <sz val="10"/>
        <rFont val="BMW Group Light"/>
      </rPr>
      <t>0</t>
    </r>
  </si>
  <si>
    <r>
      <t xml:space="preserve"> Rohstoffnotierung R</t>
    </r>
    <r>
      <rPr>
        <b/>
        <vertAlign val="subscript"/>
        <sz val="10"/>
        <rFont val="BMW Group Light"/>
      </rPr>
      <t>0</t>
    </r>
    <r>
      <rPr>
        <b/>
        <sz val="9"/>
        <rFont val="BMW Group Light"/>
      </rPr>
      <t xml:space="preserve"> [AW/kg]</t>
    </r>
  </si>
  <si>
    <t xml:space="preserve"> Bezugsgewicht [kg]</t>
  </si>
  <si>
    <t xml:space="preserve"> Rohstoffbezeichnung</t>
  </si>
  <si>
    <t xml:space="preserve"> SEKOF + Folgewerkzeuge
 + Werkzeuginstandhaltung
 pro Stück [AW]</t>
  </si>
  <si>
    <t xml:space="preserve"> Rohstoffnotierung
 Ro [AW/kg]</t>
  </si>
  <si>
    <t xml:space="preserve"> Rohstofffzuschlag
 RoZ0 [AW]</t>
  </si>
  <si>
    <t>Summe von  Bezugsgewicht [kg]</t>
  </si>
  <si>
    <t>KU41</t>
  </si>
  <si>
    <t>KU42</t>
  </si>
  <si>
    <t>KU44</t>
  </si>
  <si>
    <t>KU46</t>
  </si>
  <si>
    <t>KU47</t>
  </si>
  <si>
    <t>KU48</t>
  </si>
  <si>
    <t>KU49</t>
  </si>
  <si>
    <t xml:space="preserve">Kunststoff ABS - Recyclat                              </t>
  </si>
  <si>
    <t>Kunststoff ABS-PC - Recyclat</t>
  </si>
  <si>
    <t>Kunststoff PA - Recyclat</t>
  </si>
  <si>
    <t>Kunststoff PP-TVxx - Recyclat</t>
  </si>
  <si>
    <t>Kunststoff PP - Recyclat</t>
  </si>
  <si>
    <t>Kunststoff PP-GFxx - Recyclat</t>
  </si>
  <si>
    <t>Kunststoff PE - Recyclat</t>
  </si>
  <si>
    <t>Druckaufnahme (Tampondruck) / Klischees</t>
  </si>
  <si>
    <t>Kaschier- / Umbugwerkzeugwerkzeug für Sondermaschine</t>
  </si>
  <si>
    <t>Rohstoff - Preisanteil</t>
  </si>
  <si>
    <t>Nasspressen (CFK)</t>
  </si>
  <si>
    <t xml:space="preserve">Thixomolding </t>
  </si>
  <si>
    <t>Der Inhalt von diesem Blatt wird beim prüfen der datei mit QAF8-Tools gelöscht und neu befüllt</t>
  </si>
  <si>
    <t>ACHTUNG:</t>
  </si>
  <si>
    <t>Ausgrauung
Materialblatt</t>
  </si>
  <si>
    <t>Presswerkzeuge (Straßen-/Transfer-Werkzeug usw.)</t>
  </si>
  <si>
    <t>Messerschnitt (nicht Metall)</t>
  </si>
  <si>
    <t>Einmalzahlungen</t>
  </si>
  <si>
    <t>Ferrochromium high (65% Cr, 0,06% C)</t>
  </si>
  <si>
    <t>Ferrochrom high (65% Cr, 0,06% C)</t>
  </si>
  <si>
    <t>Ferrochromium low (low phosphor, max. 7% C)</t>
  </si>
  <si>
    <t>Ferrochrom low (low phosphor, max. 7% C)</t>
  </si>
  <si>
    <t>Plastics  ABS recycling material</t>
  </si>
  <si>
    <t>Plastics ABS-PC recycling material</t>
  </si>
  <si>
    <t>Natural Rubber</t>
  </si>
  <si>
    <t>Naturkautschuk</t>
  </si>
  <si>
    <t>Plastics PA recycling material</t>
  </si>
  <si>
    <t>Plastics PE recycling material</t>
  </si>
  <si>
    <t>Plastics PP recycling material</t>
  </si>
  <si>
    <t>Plastics PP-GFxx recycling material</t>
  </si>
  <si>
    <t>Plastics PP-TVxx recycling material</t>
  </si>
  <si>
    <t>Plastics synthetic rubber</t>
  </si>
  <si>
    <t xml:space="preserve">Aluminium Primary AL Premium (ECDP/ECDU)  </t>
  </si>
  <si>
    <t>Aluminium Primär-AL-Prämie (ECDP/ECDU)</t>
  </si>
  <si>
    <t xml:space="preserve">Aluminium Sekundary AL Premium (Alloy 226)  </t>
  </si>
  <si>
    <t>Aluminium-Sekundärprämie Leg. 226</t>
  </si>
  <si>
    <t>AL05</t>
  </si>
  <si>
    <t>Aluminium Primary AL Midwest Premium</t>
  </si>
  <si>
    <t xml:space="preserve">Aluminium Primär-AL-Midwest-Prämie </t>
  </si>
  <si>
    <t>AL06</t>
  </si>
  <si>
    <t>Aluminium Primary AL CJP Premium</t>
  </si>
  <si>
    <t>Aluminium Primär-AL-CJP-Prämie</t>
  </si>
  <si>
    <t>AL07</t>
  </si>
  <si>
    <t>Steel Hot dipped galvanized Europe</t>
  </si>
  <si>
    <t>Stahlblech Kauf Europa (HDG)</t>
  </si>
  <si>
    <t>Steel Hot dipped galvanized China</t>
  </si>
  <si>
    <t>Stahlblech Kauf China (HDG)</t>
  </si>
  <si>
    <t>ST15</t>
  </si>
  <si>
    <t>Steel Hot rolled coil Europe</t>
  </si>
  <si>
    <t>Stahlblech Warmband Europa (HRC)</t>
  </si>
  <si>
    <t>Steel Hot rolled coil China</t>
  </si>
  <si>
    <t>Stahlblech Warmband China (HRC)</t>
  </si>
  <si>
    <t>Steel scrap return Europe</t>
  </si>
  <si>
    <t>Stahlschrott (Rückvergütung) Europa</t>
  </si>
  <si>
    <t>Steel scrap return USA</t>
  </si>
  <si>
    <t>Stahlschrott (Rückvergütung) USA</t>
  </si>
  <si>
    <t>ST14</t>
  </si>
  <si>
    <t>Cobalt High Grade</t>
  </si>
  <si>
    <t>Kobalt High Grade</t>
  </si>
  <si>
    <t>SO13</t>
  </si>
  <si>
    <r>
      <t>hier Fertiggewicht, ggf. Detaillierung unten  ergänzen mit Aluminium Schrott</t>
    </r>
    <r>
      <rPr>
        <sz val="11"/>
        <color rgb="FFFF0000"/>
        <rFont val="BMW Group Light"/>
      </rPr>
      <t>/Wertverzehr</t>
    </r>
  </si>
  <si>
    <t>nur für Alu-Primärlegierungen zulässig - Europa</t>
  </si>
  <si>
    <t>nur für Alu-Leg. 226 zulässig</t>
  </si>
  <si>
    <t>nur für Alu-Primärlegierungen zulässig - USA</t>
  </si>
  <si>
    <t>nur für Alu-Primärlegierungen zulässig - Japan</t>
  </si>
  <si>
    <t>Aluminium HG 3M SELLER LME (MTZ)</t>
  </si>
  <si>
    <t xml:space="preserve">Aluminium HG SHFE </t>
  </si>
  <si>
    <t>AL08</t>
  </si>
  <si>
    <t>hier Fertiggewicht, ggf. Detaillierung unten  ergänzen mit Aluminium Schrott/Wertverzehr</t>
  </si>
  <si>
    <t>Abwicklungsmodelle</t>
  </si>
  <si>
    <t>(1.+ 2.+ 3.+ 4.)</t>
  </si>
  <si>
    <t>Sonstige Zuschläge</t>
  </si>
  <si>
    <t>(Summe 1. bis 8.)</t>
  </si>
  <si>
    <t>9.</t>
  </si>
  <si>
    <t>Gesamteinmalzahlungen (Indikation) in Bestellwährung [AW1]</t>
  </si>
  <si>
    <t>GESAMTEINMALZAHLUNG</t>
  </si>
  <si>
    <t>Stück (Rohstoff-Risiko)</t>
  </si>
  <si>
    <t>5. Rohstoffrisiken</t>
  </si>
  <si>
    <t>Seite 2 von 7</t>
  </si>
  <si>
    <t>1. Material</t>
  </si>
  <si>
    <t>3.  SBM, SEKOF und Folgewerkzeuge</t>
  </si>
  <si>
    <t xml:space="preserve"> 2. Fertigungskosten</t>
  </si>
  <si>
    <t>Seite 3 von 7</t>
  </si>
  <si>
    <t>Seite 4 von 7</t>
  </si>
  <si>
    <t>Seite 5 von 7</t>
  </si>
  <si>
    <t>b2b.bmwgroup.net</t>
  </si>
  <si>
    <t>Summe direkte  variable Kosten + Afa</t>
  </si>
  <si>
    <t>Summe fixe Kosten</t>
  </si>
  <si>
    <t>Direkter Lohn pro Stück inkl. OEE</t>
  </si>
  <si>
    <t>Kalkulatorisch angesetzte Materialkosten pro
Mengeneinheit [BW]</t>
  </si>
  <si>
    <t>Kalkulatorisch angesetzte Rückvergütung [AW]
 (nur Rohmaterial)</t>
  </si>
  <si>
    <t>Kalkulatorisch angesetzte direkte 
Lohnkosten [BW/h]</t>
  </si>
  <si>
    <t xml:space="preserve"> Kalkulatorisch angesetzte Lohn-zuschlagssätze  SGK [%]</t>
  </si>
  <si>
    <t>Kalkulatorisch angesetzte Werkzeug- und Vorrichtungs-kosten [BW]</t>
  </si>
  <si>
    <r>
      <t xml:space="preserve">Die </t>
    </r>
    <r>
      <rPr>
        <b/>
        <sz val="10"/>
        <rFont val="BMW Group Light"/>
      </rPr>
      <t>Dokumentenlenkungsinformationen</t>
    </r>
    <r>
      <rPr>
        <sz val="10"/>
        <rFont val="BMW Group Light"/>
      </rPr>
      <t xml:space="preserve"> finden Sie unter:</t>
    </r>
  </si>
  <si>
    <t>https://vts4.bmwgroup.net/sites/m/cep/CEWi/Alle%20Dokumente/Dokumente%20mit%20externen%20Sichtrechten/DOKU_aktuell_Dokumentenlenkung_Kostenmodell_de.xlsx</t>
  </si>
  <si>
    <t>QAF Version 8.4_01_01 © BMW AG</t>
  </si>
  <si>
    <t xml:space="preserve">    (siehe Nutzerleitfaden QAF Version 8.4)</t>
  </si>
  <si>
    <t xml:space="preserve">                (siehe Nutzerleitfaden QAF Version 8.4)</t>
  </si>
  <si>
    <t>(siehe Nutzerleitfaden QAF Version 8.4)</t>
  </si>
  <si>
    <t>HIB Trim Part Solutions GmbH</t>
  </si>
  <si>
    <t>U06ff.</t>
  </si>
  <si>
    <t>xx/2025</t>
  </si>
  <si>
    <t>Deutschland/Bruchsal</t>
  </si>
  <si>
    <t>FCA</t>
  </si>
  <si>
    <t>Etikett</t>
  </si>
  <si>
    <t>Bruchsal</t>
  </si>
  <si>
    <t>MO Funkbox (Schnittstelle SAP)</t>
  </si>
  <si>
    <t>Messaufnahme</t>
  </si>
  <si>
    <t>PC ABS GF30</t>
  </si>
  <si>
    <t>Sheet Shear</t>
  </si>
  <si>
    <t>Shear</t>
  </si>
  <si>
    <t>Shear Press</t>
  </si>
  <si>
    <t>Codlea</t>
  </si>
  <si>
    <t>Alu Can</t>
  </si>
  <si>
    <t>Die Op - Blank</t>
  </si>
  <si>
    <t>Press</t>
  </si>
  <si>
    <t>Wash/UV</t>
  </si>
  <si>
    <t>Washer/UV Oven</t>
  </si>
  <si>
    <t>SG-H ALU</t>
  </si>
  <si>
    <t>Spritzgießen ALU</t>
  </si>
  <si>
    <t>Rüsten SG-H ALU</t>
  </si>
  <si>
    <t>CNC ALU/ Kst.</t>
  </si>
  <si>
    <t>Fräsen umlfd. ALU</t>
  </si>
  <si>
    <t>RO_CNC_5A2S</t>
  </si>
  <si>
    <t>PC ABS T80 XG Mitte</t>
  </si>
  <si>
    <t>FS_Akzentleiste_LL</t>
  </si>
  <si>
    <t>FS_Lichtmodul_LL</t>
  </si>
  <si>
    <t>Die Op - Form</t>
  </si>
  <si>
    <t>RO_420t_KS</t>
  </si>
  <si>
    <t>Einzelteillehre Alu</t>
  </si>
  <si>
    <t>SG-Entnahme-Vorr</t>
  </si>
  <si>
    <t>CNC Fräs-Vorr</t>
  </si>
  <si>
    <t>MO Heißniet/USS-Vorr</t>
  </si>
  <si>
    <t>MO Montage-Vorr</t>
  </si>
  <si>
    <t>SG-Einzelteillehre</t>
  </si>
  <si>
    <t>SG-Verzugslehre</t>
  </si>
  <si>
    <t>CNC Fräslehren</t>
  </si>
  <si>
    <t>MO Fertigteillehre</t>
  </si>
  <si>
    <t>Nullteillehre</t>
  </si>
  <si>
    <t>MO Meßuhren</t>
  </si>
  <si>
    <t>neuer Alu Zuschnitt</t>
  </si>
  <si>
    <t>POM</t>
  </si>
  <si>
    <t>Alu_Zuschnitt_Hexacube dunkel</t>
  </si>
  <si>
    <t>Henry Sebold</t>
  </si>
  <si>
    <t>henry.sebold@nbhx-trim.com</t>
  </si>
  <si>
    <t>+49 7251 722 427</t>
  </si>
  <si>
    <t>Rolem</t>
  </si>
  <si>
    <t>HIB</t>
  </si>
  <si>
    <t>Aktuell</t>
  </si>
  <si>
    <t>Alu</t>
  </si>
  <si>
    <t>Fleece</t>
  </si>
  <si>
    <t>Klammern</t>
  </si>
  <si>
    <t>Fleece kaschieren</t>
  </si>
  <si>
    <t>Stanzprozess -1</t>
  </si>
  <si>
    <t>Zyklus Spritzen</t>
  </si>
  <si>
    <t>Fräsen</t>
  </si>
  <si>
    <t>Endkontrolle, Verpacken</t>
  </si>
  <si>
    <t>Lohnkosten</t>
  </si>
  <si>
    <t>AS Alu</t>
  </si>
  <si>
    <t>Spritzzyklus</t>
  </si>
  <si>
    <t>Montage</t>
  </si>
  <si>
    <t>Fleece PWG 300+ alb</t>
  </si>
  <si>
    <t>Klammer IP (012785002)</t>
  </si>
  <si>
    <t>Omegaklammer IP (247325001)</t>
  </si>
  <si>
    <t>Lamination</t>
  </si>
  <si>
    <t>Kaschierpresse.</t>
  </si>
  <si>
    <t>Inspect &amp; Pack</t>
  </si>
  <si>
    <t>Oberflächenkontrolle, Verpacken</t>
  </si>
  <si>
    <t>Bench</t>
  </si>
  <si>
    <t>Clip_assembly</t>
  </si>
  <si>
    <t>POM_assembly_line</t>
  </si>
  <si>
    <t>Assembly_line_fully_automised</t>
  </si>
  <si>
    <t>Q-Gate</t>
  </si>
  <si>
    <t>Handworkplace</t>
  </si>
  <si>
    <t>Assembly_line_fully_automised I</t>
  </si>
  <si>
    <t>Handworkplace Q-Gate</t>
  </si>
  <si>
    <t>FS_SA3_LL_Aluminuim_Mesh</t>
  </si>
  <si>
    <t>Spritzgießen</t>
  </si>
  <si>
    <t>Rüsten SG-H LAC</t>
  </si>
  <si>
    <t>BR_330t
350t</t>
  </si>
  <si>
    <t>Preiserhöhung aufgrund Stückzahlreduzierung</t>
  </si>
  <si>
    <t>AZ3086 Hörnchen</t>
  </si>
  <si>
    <t>Preisanpassung 01.01.2022</t>
  </si>
  <si>
    <t>RIK-Wertanpassung</t>
  </si>
  <si>
    <t>LTA</t>
  </si>
  <si>
    <t>Qalification fee</t>
  </si>
  <si>
    <t>Gesamt</t>
  </si>
  <si>
    <t>Abw.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</si>
</sst>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4" formatCode="_-* #,##0.00\ &quot;€&quot;_-;\-* #,##0.00\ &quot;€&quot;_-;_-* &quot;-&quot;??\ &quot;€&quot;_-;_-@_-"/>
    <numFmt numFmtId="164" formatCode="0.0"/>
    <numFmt numFmtId="165" formatCode="0.000"/>
    <numFmt numFmtId="166" formatCode="0.0%"/>
    <numFmt numFmtId="167" formatCode="mm/yyyy"/>
    <numFmt numFmtId="168" formatCode="General;General;"/>
    <numFmt numFmtId="169" formatCode="0.0000"/>
    <numFmt numFmtId="170" formatCode="_-* #,##0.00\ [$€-1]_-;\-* #,##0.00\ [$€-1]_-;_-* &quot;-&quot;??\ [$€-1]_-"/>
    <numFmt numFmtId="171" formatCode="_(&quot;€&quot;* #,##0.00_);_(&quot;€&quot;* \(#,##0.00\);_(&quot;€&quot;* &quot;-&quot;??_);_(@_)"/>
    <numFmt numFmtId="172" formatCode="#,##0.000000"/>
  </numFmts>
  <fonts count="5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9"/>
      <name val="BMW Group Light"/>
    </font>
    <font>
      <sz val="8"/>
      <name val="BMW Group Light"/>
    </font>
    <font>
      <sz val="11"/>
      <name val="BMW Group Light"/>
    </font>
    <font>
      <b/>
      <sz val="9"/>
      <name val="BMW Group Light"/>
    </font>
    <font>
      <b/>
      <vertAlign val="subscript"/>
      <sz val="10"/>
      <name val="BMW Group Light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b/>
      <sz val="20"/>
      <color theme="1"/>
      <name val="Arial"/>
      <family val="2"/>
    </font>
    <font>
      <sz val="14"/>
      <color theme="1"/>
      <name val="Arial"/>
      <family val="2"/>
    </font>
    <font>
      <sz val="9"/>
      <color rgb="FFFF0000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BMW Group Light"/>
    </font>
    <font>
      <b/>
      <sz val="20"/>
      <color theme="1"/>
      <name val="BMW Group Light"/>
    </font>
    <font>
      <sz val="11"/>
      <color theme="1"/>
      <name val="BMW Group Light"/>
    </font>
    <font>
      <u/>
      <sz val="14"/>
      <color theme="10"/>
      <name val="BMW Group Light"/>
    </font>
    <font>
      <sz val="12"/>
      <color theme="1"/>
      <name val="BMW Group Light"/>
    </font>
    <font>
      <sz val="14"/>
      <color theme="1"/>
      <name val="BMW Group Light"/>
    </font>
    <font>
      <sz val="8.8000000000000007"/>
      <color theme="1" tint="4.9989318521683403E-2"/>
      <name val="BMW Group Light"/>
    </font>
    <font>
      <sz val="8"/>
      <color theme="1"/>
      <name val="BMW Group Light"/>
    </font>
    <font>
      <sz val="9"/>
      <color rgb="FFFF0000"/>
      <name val="BMW Group Light"/>
    </font>
    <font>
      <b/>
      <sz val="9"/>
      <color theme="1"/>
      <name val="BMW Group Light"/>
    </font>
    <font>
      <sz val="9"/>
      <color theme="1"/>
      <name val="BMW Group Light"/>
    </font>
    <font>
      <i/>
      <sz val="10"/>
      <color theme="1"/>
      <name val="BMW Group Light"/>
    </font>
    <font>
      <b/>
      <sz val="11"/>
      <color theme="1"/>
      <name val="BMW Group Light"/>
    </font>
    <font>
      <u/>
      <sz val="8.8000000000000007"/>
      <color theme="10"/>
      <name val="BMW Group Light"/>
    </font>
    <font>
      <b/>
      <sz val="12"/>
      <color theme="1"/>
      <name val="BMW Group Light"/>
    </font>
    <font>
      <b/>
      <i/>
      <sz val="12"/>
      <color theme="1"/>
      <name val="BMW Group Light"/>
    </font>
    <font>
      <sz val="10"/>
      <color theme="1"/>
      <name val="BMW Group Light"/>
    </font>
    <font>
      <b/>
      <strike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rgb="FFFF0000"/>
      <name val="BMW Group Light"/>
    </font>
    <font>
      <sz val="11"/>
      <color theme="1" tint="4.9989318521683403E-2"/>
      <name val="BMW Group Light"/>
    </font>
    <font>
      <sz val="11"/>
      <color theme="0"/>
      <name val="BMW Group Light"/>
    </font>
    <font>
      <sz val="8"/>
      <color theme="0"/>
      <name val="BMW Group Light"/>
    </font>
    <font>
      <sz val="14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8"/>
      <color theme="1" tint="4.9989318521683403E-2"/>
      <name val="BMW Group Light"/>
    </font>
    <font>
      <b/>
      <u/>
      <sz val="14"/>
      <color rgb="FFFF0000"/>
      <name val="Calibri"/>
      <family val="2"/>
      <scheme val="minor"/>
    </font>
    <font>
      <b/>
      <sz val="9"/>
      <color theme="0"/>
      <name val="BMW Group Light"/>
    </font>
    <font>
      <b/>
      <sz val="11"/>
      <color theme="1" tint="4.9989318521683403E-2"/>
      <name val="Calibri"/>
      <family val="2"/>
      <scheme val="minor"/>
    </font>
    <font>
      <b/>
      <sz val="11"/>
      <color theme="1" tint="4.9989318521683403E-2"/>
      <name val="BMW Group Light"/>
    </font>
    <font>
      <sz val="20"/>
      <color theme="1" tint="4.9989318521683403E-2"/>
      <name val="Calibri"/>
      <family val="2"/>
      <scheme val="minor"/>
    </font>
    <font>
      <sz val="8"/>
      <color theme="1"/>
      <name val="BMWType V2 Light"/>
    </font>
    <font>
      <b/>
      <u/>
      <sz val="11"/>
      <color rgb="FFFF0000"/>
      <name val="Calibri"/>
      <family val="2"/>
      <scheme val="minor"/>
    </font>
    <font>
      <sz val="10"/>
      <name val="BMW Group Light"/>
    </font>
    <font>
      <sz val="10"/>
      <color theme="1"/>
      <name val="BMW Group Condensed"/>
      <family val="2"/>
    </font>
    <font>
      <b/>
      <sz val="10"/>
      <name val="BMW Group Light"/>
    </font>
    <font>
      <sz val="8"/>
      <color rgb="FFFF0000"/>
      <name val="BMW Group Light"/>
    </font>
    <font>
      <b/>
      <sz val="8"/>
      <color rgb="FFFF0000"/>
      <name val="BMW Group Light"/>
    </font>
    <font>
      <b/>
      <sz val="8"/>
      <color theme="1"/>
      <name val="BMW Group Light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8C8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4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rgb="FF999999"/>
      </top>
      <bottom/>
      <diagonal/>
    </border>
    <border>
      <left style="thin">
        <color rgb="FF999999"/>
      </left>
      <right style="medium">
        <color indexed="64"/>
      </right>
      <top style="thin">
        <color rgb="FF999999"/>
      </top>
      <bottom/>
      <diagonal/>
    </border>
    <border>
      <left style="medium">
        <color indexed="64"/>
      </left>
      <right/>
      <top style="thin">
        <color rgb="FF999999"/>
      </top>
      <bottom style="thin">
        <color rgb="FF99999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999999"/>
      </top>
      <bottom/>
      <diagonal/>
    </border>
  </borders>
  <cellStyleXfs count="30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9" fontId="9" fillId="0" borderId="0" applyFont="0" applyFill="0" applyBorder="0" applyAlignment="0" applyProtection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8" fillId="0" borderId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865">
    <xf numFmtId="0" fontId="0" fillId="0" borderId="0" xfId="0"/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6" fillId="2" borderId="5" xfId="0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4" fillId="2" borderId="6" xfId="0" applyFont="1" applyFill="1" applyBorder="1" applyAlignment="1">
      <alignment horizontal="left"/>
    </xf>
    <xf numFmtId="0" fontId="17" fillId="2" borderId="7" xfId="0" applyFont="1" applyFill="1" applyBorder="1" applyAlignment="1">
      <alignment horizontal="left"/>
    </xf>
    <xf numFmtId="0" fontId="18" fillId="2" borderId="8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17" fillId="2" borderId="0" xfId="0" applyFont="1" applyFill="1" applyAlignment="1">
      <alignment horizontal="left"/>
    </xf>
    <xf numFmtId="0" fontId="18" fillId="2" borderId="4" xfId="0" applyFont="1" applyFill="1" applyBorder="1" applyAlignment="1">
      <alignment horizontal="left"/>
    </xf>
    <xf numFmtId="0" fontId="15" fillId="2" borderId="0" xfId="0" applyFont="1" applyFill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8" fillId="0" borderId="4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0" fillId="0" borderId="17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9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/>
    <xf numFmtId="0" fontId="0" fillId="0" borderId="18" xfId="0" applyBorder="1"/>
    <xf numFmtId="0" fontId="10" fillId="0" borderId="21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0" fillId="0" borderId="15" xfId="0" applyBorder="1" applyAlignment="1">
      <alignment wrapText="1"/>
    </xf>
    <xf numFmtId="14" fontId="0" fillId="0" borderId="0" xfId="0" applyNumberFormat="1"/>
    <xf numFmtId="0" fontId="10" fillId="0" borderId="23" xfId="0" applyFont="1" applyBorder="1" applyAlignment="1">
      <alignment vertical="center" wrapText="1"/>
    </xf>
    <xf numFmtId="2" fontId="0" fillId="0" borderId="20" xfId="0" applyNumberFormat="1" applyBorder="1"/>
    <xf numFmtId="0" fontId="10" fillId="0" borderId="23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0" fillId="0" borderId="19" xfId="0" applyBorder="1"/>
    <xf numFmtId="168" fontId="9" fillId="0" borderId="17" xfId="9" applyNumberFormat="1" applyFont="1" applyBorder="1"/>
    <xf numFmtId="168" fontId="9" fillId="0" borderId="18" xfId="9" applyNumberFormat="1" applyFont="1" applyBorder="1"/>
    <xf numFmtId="168" fontId="9" fillId="0" borderId="9" xfId="9" applyNumberFormat="1" applyFont="1" applyBorder="1"/>
    <xf numFmtId="0" fontId="10" fillId="0" borderId="21" xfId="0" applyFont="1" applyBorder="1" applyAlignment="1">
      <alignment vertical="center"/>
    </xf>
    <xf numFmtId="14" fontId="0" fillId="0" borderId="17" xfId="0" applyNumberFormat="1" applyBorder="1"/>
    <xf numFmtId="14" fontId="0" fillId="0" borderId="14" xfId="0" applyNumberFormat="1" applyBorder="1"/>
    <xf numFmtId="2" fontId="0" fillId="0" borderId="12" xfId="0" applyNumberFormat="1" applyBorder="1"/>
    <xf numFmtId="168" fontId="9" fillId="0" borderId="15" xfId="9" applyNumberFormat="1" applyFont="1" applyBorder="1"/>
    <xf numFmtId="168" fontId="9" fillId="0" borderId="14" xfId="9" applyNumberFormat="1" applyFont="1" applyBorder="1"/>
    <xf numFmtId="168" fontId="9" fillId="0" borderId="11" xfId="9" applyNumberFormat="1" applyFont="1" applyBorder="1"/>
    <xf numFmtId="0" fontId="10" fillId="0" borderId="23" xfId="0" applyFont="1" applyBorder="1" applyAlignment="1">
      <alignment vertical="center"/>
    </xf>
    <xf numFmtId="0" fontId="0" fillId="0" borderId="23" xfId="0" applyBorder="1"/>
    <xf numFmtId="0" fontId="0" fillId="0" borderId="22" xfId="0" applyBorder="1" applyAlignment="1">
      <alignment wrapText="1"/>
    </xf>
    <xf numFmtId="0" fontId="19" fillId="2" borderId="0" xfId="0" applyFont="1" applyFill="1" applyAlignment="1">
      <alignment horizontal="left"/>
    </xf>
    <xf numFmtId="0" fontId="20" fillId="2" borderId="6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0" borderId="0" xfId="0" applyFont="1"/>
    <xf numFmtId="0" fontId="21" fillId="0" borderId="1" xfId="0" applyFont="1" applyBorder="1"/>
    <xf numFmtId="0" fontId="21" fillId="0" borderId="24" xfId="0" applyFont="1" applyBorder="1"/>
    <xf numFmtId="0" fontId="21" fillId="0" borderId="25" xfId="0" applyFont="1" applyBorder="1"/>
    <xf numFmtId="0" fontId="21" fillId="0" borderId="26" xfId="0" applyFont="1" applyBorder="1"/>
    <xf numFmtId="0" fontId="20" fillId="2" borderId="0" xfId="0" applyFont="1" applyFill="1" applyAlignment="1">
      <alignment horizontal="center"/>
    </xf>
    <xf numFmtId="0" fontId="22" fillId="2" borderId="0" xfId="5" applyFont="1" applyFill="1" applyBorder="1" applyAlignment="1" applyProtection="1">
      <alignment horizontal="left"/>
    </xf>
    <xf numFmtId="0" fontId="20" fillId="2" borderId="2" xfId="0" applyFont="1" applyFill="1" applyBorder="1" applyAlignment="1">
      <alignment horizontal="center"/>
    </xf>
    <xf numFmtId="0" fontId="23" fillId="2" borderId="7" xfId="0" applyFont="1" applyFill="1" applyBorder="1" applyAlignment="1">
      <alignment horizontal="left"/>
    </xf>
    <xf numFmtId="0" fontId="23" fillId="2" borderId="0" xfId="0" applyFont="1" applyFill="1" applyAlignment="1">
      <alignment horizontal="left"/>
    </xf>
    <xf numFmtId="0" fontId="23" fillId="2" borderId="0" xfId="0" applyFont="1" applyFill="1" applyAlignment="1">
      <alignment horizontal="center"/>
    </xf>
    <xf numFmtId="0" fontId="24" fillId="2" borderId="7" xfId="0" applyFont="1" applyFill="1" applyBorder="1" applyAlignment="1">
      <alignment horizontal="left"/>
    </xf>
    <xf numFmtId="0" fontId="24" fillId="2" borderId="0" xfId="0" applyFont="1" applyFill="1" applyAlignment="1">
      <alignment horizontal="center"/>
    </xf>
    <xf numFmtId="0" fontId="25" fillId="2" borderId="0" xfId="5" applyFont="1" applyFill="1" applyBorder="1" applyAlignment="1" applyProtection="1">
      <alignment horizontal="left"/>
    </xf>
    <xf numFmtId="0" fontId="24" fillId="2" borderId="3" xfId="0" applyFont="1" applyFill="1" applyBorder="1" applyAlignment="1">
      <alignment horizontal="center"/>
    </xf>
    <xf numFmtId="0" fontId="26" fillId="2" borderId="4" xfId="0" applyFont="1" applyFill="1" applyBorder="1" applyAlignment="1">
      <alignment horizontal="center"/>
    </xf>
    <xf numFmtId="0" fontId="27" fillId="2" borderId="4" xfId="0" applyFont="1" applyFill="1" applyBorder="1" applyAlignment="1">
      <alignment horizontal="center"/>
    </xf>
    <xf numFmtId="0" fontId="27" fillId="2" borderId="5" xfId="0" applyFont="1" applyFill="1" applyBorder="1" applyAlignment="1">
      <alignment horizontal="center"/>
    </xf>
    <xf numFmtId="49" fontId="28" fillId="2" borderId="27" xfId="0" applyNumberFormat="1" applyFont="1" applyFill="1" applyBorder="1" applyAlignment="1">
      <alignment horizontal="left" vertical="center"/>
    </xf>
    <xf numFmtId="49" fontId="28" fillId="2" borderId="24" xfId="0" applyNumberFormat="1" applyFont="1" applyFill="1" applyBorder="1" applyAlignment="1">
      <alignment horizontal="left" vertical="center"/>
    </xf>
    <xf numFmtId="49" fontId="28" fillId="2" borderId="24" xfId="0" applyNumberFormat="1" applyFont="1" applyFill="1" applyBorder="1" applyAlignment="1">
      <alignment vertical="center"/>
    </xf>
    <xf numFmtId="49" fontId="29" fillId="0" borderId="24" xfId="0" applyNumberFormat="1" applyFont="1" applyBorder="1" applyAlignment="1">
      <alignment horizontal="left" vertical="center"/>
    </xf>
    <xf numFmtId="49" fontId="28" fillId="2" borderId="28" xfId="0" applyNumberFormat="1" applyFont="1" applyFill="1" applyBorder="1" applyAlignment="1">
      <alignment vertical="center"/>
    </xf>
    <xf numFmtId="49" fontId="28" fillId="2" borderId="28" xfId="0" applyNumberFormat="1" applyFont="1" applyFill="1" applyBorder="1" applyAlignment="1">
      <alignment horizontal="left" vertical="center"/>
    </xf>
    <xf numFmtId="49" fontId="28" fillId="2" borderId="25" xfId="0" applyNumberFormat="1" applyFont="1" applyFill="1" applyBorder="1" applyAlignment="1">
      <alignment horizontal="left" vertical="center"/>
    </xf>
    <xf numFmtId="49" fontId="28" fillId="2" borderId="25" xfId="0" applyNumberFormat="1" applyFont="1" applyFill="1" applyBorder="1" applyAlignment="1">
      <alignment vertical="center"/>
    </xf>
    <xf numFmtId="49" fontId="29" fillId="0" borderId="25" xfId="0" applyNumberFormat="1" applyFont="1" applyBorder="1" applyAlignment="1">
      <alignment horizontal="left" vertical="center"/>
    </xf>
    <xf numFmtId="49" fontId="28" fillId="2" borderId="29" xfId="0" applyNumberFormat="1" applyFont="1" applyFill="1" applyBorder="1" applyAlignment="1">
      <alignment vertical="center"/>
    </xf>
    <xf numFmtId="49" fontId="28" fillId="2" borderId="8" xfId="0" applyNumberFormat="1" applyFont="1" applyFill="1" applyBorder="1" applyAlignment="1">
      <alignment horizontal="left" vertical="center"/>
    </xf>
    <xf numFmtId="49" fontId="28" fillId="2" borderId="4" xfId="0" applyNumberFormat="1" applyFont="1" applyFill="1" applyBorder="1" applyAlignment="1">
      <alignment horizontal="left" vertical="center"/>
    </xf>
    <xf numFmtId="49" fontId="28" fillId="2" borderId="4" xfId="0" applyNumberFormat="1" applyFont="1" applyFill="1" applyBorder="1" applyAlignment="1">
      <alignment vertical="center"/>
    </xf>
    <xf numFmtId="49" fontId="29" fillId="0" borderId="26" xfId="0" applyNumberFormat="1" applyFont="1" applyBorder="1" applyAlignment="1">
      <alignment horizontal="left" vertical="center"/>
    </xf>
    <xf numFmtId="0" fontId="21" fillId="2" borderId="0" xfId="0" applyFont="1" applyFill="1"/>
    <xf numFmtId="2" fontId="28" fillId="2" borderId="30" xfId="0" applyNumberFormat="1" applyFont="1" applyFill="1" applyBorder="1" applyAlignment="1">
      <alignment horizontal="center" vertical="center"/>
    </xf>
    <xf numFmtId="2" fontId="28" fillId="2" borderId="31" xfId="0" applyNumberFormat="1" applyFont="1" applyFill="1" applyBorder="1" applyAlignment="1">
      <alignment horizontal="center" vertical="center"/>
    </xf>
    <xf numFmtId="2" fontId="28" fillId="2" borderId="32" xfId="0" applyNumberFormat="1" applyFont="1" applyFill="1" applyBorder="1" applyAlignment="1">
      <alignment horizontal="center" vertical="center"/>
    </xf>
    <xf numFmtId="2" fontId="28" fillId="2" borderId="30" xfId="0" applyNumberFormat="1" applyFont="1" applyFill="1" applyBorder="1" applyAlignment="1">
      <alignment horizontal="left" vertical="center"/>
    </xf>
    <xf numFmtId="0" fontId="28" fillId="2" borderId="31" xfId="0" applyFont="1" applyFill="1" applyBorder="1" applyAlignment="1">
      <alignment vertical="center"/>
    </xf>
    <xf numFmtId="2" fontId="28" fillId="2" borderId="30" xfId="0" applyNumberFormat="1" applyFont="1" applyFill="1" applyBorder="1" applyAlignment="1">
      <alignment vertical="center"/>
    </xf>
    <xf numFmtId="2" fontId="28" fillId="2" borderId="31" xfId="0" applyNumberFormat="1" applyFont="1" applyFill="1" applyBorder="1" applyAlignment="1">
      <alignment vertical="center"/>
    </xf>
    <xf numFmtId="0" fontId="28" fillId="2" borderId="31" xfId="0" applyFont="1" applyFill="1" applyBorder="1" applyAlignment="1">
      <alignment horizontal="center" vertical="center"/>
    </xf>
    <xf numFmtId="0" fontId="28" fillId="2" borderId="32" xfId="0" applyFont="1" applyFill="1" applyBorder="1" applyAlignment="1">
      <alignment vertical="center"/>
    </xf>
    <xf numFmtId="0" fontId="21" fillId="2" borderId="0" xfId="0" applyFont="1" applyFill="1" applyAlignment="1">
      <alignment vertical="center"/>
    </xf>
    <xf numFmtId="0" fontId="28" fillId="2" borderId="30" xfId="0" applyFont="1" applyFill="1" applyBorder="1" applyAlignment="1">
      <alignment horizontal="left" vertical="center"/>
    </xf>
    <xf numFmtId="0" fontId="28" fillId="2" borderId="32" xfId="0" applyFont="1" applyFill="1" applyBorder="1" applyAlignment="1">
      <alignment horizontal="center" vertical="center"/>
    </xf>
    <xf numFmtId="0" fontId="28" fillId="2" borderId="33" xfId="0" applyFont="1" applyFill="1" applyBorder="1" applyAlignment="1">
      <alignment horizontal="center" textRotation="90" wrapText="1"/>
    </xf>
    <xf numFmtId="0" fontId="28" fillId="2" borderId="34" xfId="0" applyFont="1" applyFill="1" applyBorder="1" applyAlignment="1">
      <alignment horizontal="center" textRotation="90" wrapText="1"/>
    </xf>
    <xf numFmtId="0" fontId="28" fillId="2" borderId="35" xfId="0" applyFont="1" applyFill="1" applyBorder="1" applyAlignment="1">
      <alignment horizontal="center" textRotation="90" wrapText="1"/>
    </xf>
    <xf numFmtId="2" fontId="28" fillId="2" borderId="33" xfId="0" applyNumberFormat="1" applyFont="1" applyFill="1" applyBorder="1" applyAlignment="1">
      <alignment horizontal="center" textRotation="90" wrapText="1"/>
    </xf>
    <xf numFmtId="2" fontId="28" fillId="2" borderId="37" xfId="0" applyNumberFormat="1" applyFont="1" applyFill="1" applyBorder="1" applyAlignment="1">
      <alignment horizontal="center" textRotation="90" wrapText="1"/>
    </xf>
    <xf numFmtId="2" fontId="28" fillId="2" borderId="38" xfId="0" applyNumberFormat="1" applyFont="1" applyFill="1" applyBorder="1" applyAlignment="1">
      <alignment horizontal="center" textRotation="90" wrapText="1"/>
    </xf>
    <xf numFmtId="0" fontId="28" fillId="2" borderId="37" xfId="0" applyFont="1" applyFill="1" applyBorder="1" applyAlignment="1">
      <alignment horizontal="center" textRotation="90" wrapText="1"/>
    </xf>
    <xf numFmtId="0" fontId="28" fillId="2" borderId="38" xfId="0" applyFont="1" applyFill="1" applyBorder="1" applyAlignment="1">
      <alignment horizontal="center" textRotation="90" wrapText="1"/>
    </xf>
    <xf numFmtId="2" fontId="28" fillId="2" borderId="34" xfId="0" applyNumberFormat="1" applyFont="1" applyFill="1" applyBorder="1" applyAlignment="1">
      <alignment horizontal="center" textRotation="90" wrapText="1"/>
    </xf>
    <xf numFmtId="0" fontId="28" fillId="2" borderId="39" xfId="0" applyFont="1" applyFill="1" applyBorder="1" applyAlignment="1">
      <alignment horizontal="center" textRotation="90" wrapText="1"/>
    </xf>
    <xf numFmtId="0" fontId="28" fillId="2" borderId="36" xfId="0" applyFont="1" applyFill="1" applyBorder="1" applyAlignment="1">
      <alignment horizontal="center" textRotation="90" wrapText="1"/>
    </xf>
    <xf numFmtId="0" fontId="28" fillId="2" borderId="4" xfId="0" applyFont="1" applyFill="1" applyBorder="1" applyAlignment="1">
      <alignment horizontal="center" textRotation="90" wrapText="1"/>
    </xf>
    <xf numFmtId="0" fontId="28" fillId="2" borderId="40" xfId="0" applyFont="1" applyFill="1" applyBorder="1" applyAlignment="1">
      <alignment horizontal="center" textRotation="90" wrapText="1"/>
    </xf>
    <xf numFmtId="0" fontId="28" fillId="2" borderId="0" xfId="0" applyFont="1" applyFill="1" applyAlignment="1">
      <alignment horizontal="center" textRotation="90" wrapText="1"/>
    </xf>
    <xf numFmtId="0" fontId="21" fillId="2" borderId="0" xfId="0" applyFont="1" applyFill="1" applyAlignment="1" applyProtection="1">
      <alignment vertical="center"/>
      <protection locked="0"/>
    </xf>
    <xf numFmtId="2" fontId="26" fillId="3" borderId="41" xfId="0" applyNumberFormat="1" applyFont="1" applyFill="1" applyBorder="1" applyAlignment="1">
      <alignment horizontal="center" vertical="center"/>
    </xf>
    <xf numFmtId="0" fontId="21" fillId="2" borderId="0" xfId="0" applyFont="1" applyFill="1" applyProtection="1">
      <protection locked="0"/>
    </xf>
    <xf numFmtId="0" fontId="23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166" fontId="26" fillId="0" borderId="0" xfId="0" applyNumberFormat="1" applyFont="1" applyAlignment="1">
      <alignment horizontal="center" vertical="center"/>
    </xf>
    <xf numFmtId="164" fontId="26" fillId="0" borderId="0" xfId="0" applyNumberFormat="1" applyFont="1" applyAlignment="1">
      <alignment horizontal="center" vertical="center"/>
    </xf>
    <xf numFmtId="0" fontId="23" fillId="0" borderId="6" xfId="0" applyFont="1" applyBorder="1" applyAlignment="1">
      <alignment horizontal="left" vertical="center"/>
    </xf>
    <xf numFmtId="0" fontId="23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42" xfId="0" applyFont="1" applyBorder="1" applyAlignment="1">
      <alignment horizontal="center" vertical="center"/>
    </xf>
    <xf numFmtId="166" fontId="29" fillId="0" borderId="42" xfId="0" applyNumberFormat="1" applyFont="1" applyBorder="1" applyAlignment="1">
      <alignment horizontal="right" vertical="center"/>
    </xf>
    <xf numFmtId="0" fontId="23" fillId="0" borderId="7" xfId="0" applyFont="1" applyBorder="1" applyAlignment="1">
      <alignment horizontal="left" vertical="center"/>
    </xf>
    <xf numFmtId="0" fontId="23" fillId="0" borderId="0" xfId="0" applyFont="1" applyAlignment="1">
      <alignment horizontal="center"/>
    </xf>
    <xf numFmtId="0" fontId="21" fillId="2" borderId="0" xfId="0" applyFont="1" applyFill="1" applyAlignment="1">
      <alignment horizontal="center"/>
    </xf>
    <xf numFmtId="0" fontId="21" fillId="2" borderId="0" xfId="0" applyFont="1" applyFill="1" applyAlignment="1">
      <alignment horizontal="right" vertical="center"/>
    </xf>
    <xf numFmtId="0" fontId="29" fillId="0" borderId="43" xfId="0" applyFont="1" applyBorder="1" applyAlignment="1">
      <alignment horizontal="center" vertical="center"/>
    </xf>
    <xf numFmtId="2" fontId="26" fillId="0" borderId="0" xfId="0" applyNumberFormat="1" applyFont="1" applyAlignment="1">
      <alignment horizontal="center" vertical="center"/>
    </xf>
    <xf numFmtId="0" fontId="23" fillId="0" borderId="7" xfId="0" applyFont="1" applyBorder="1" applyAlignment="1">
      <alignment horizontal="lef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30" fillId="0" borderId="8" xfId="0" applyFont="1" applyBorder="1" applyAlignment="1">
      <alignment horizontal="left" vertical="top"/>
    </xf>
    <xf numFmtId="0" fontId="21" fillId="2" borderId="4" xfId="0" applyFont="1" applyFill="1" applyBorder="1"/>
    <xf numFmtId="0" fontId="23" fillId="0" borderId="4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4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21" fillId="0" borderId="4" xfId="0" applyFont="1" applyBorder="1"/>
    <xf numFmtId="0" fontId="28" fillId="2" borderId="24" xfId="0" applyFont="1" applyFill="1" applyBorder="1" applyAlignment="1">
      <alignment vertical="center"/>
    </xf>
    <xf numFmtId="0" fontId="29" fillId="2" borderId="24" xfId="0" applyFont="1" applyFill="1" applyBorder="1" applyAlignment="1">
      <alignment horizontal="left" vertical="center"/>
    </xf>
    <xf numFmtId="0" fontId="28" fillId="2" borderId="28" xfId="0" applyFont="1" applyFill="1" applyBorder="1" applyAlignment="1">
      <alignment vertical="center"/>
    </xf>
    <xf numFmtId="0" fontId="28" fillId="2" borderId="25" xfId="0" applyFont="1" applyFill="1" applyBorder="1" applyAlignment="1">
      <alignment vertical="center"/>
    </xf>
    <xf numFmtId="0" fontId="29" fillId="2" borderId="25" xfId="0" applyFont="1" applyFill="1" applyBorder="1" applyAlignment="1">
      <alignment horizontal="left" vertical="center"/>
    </xf>
    <xf numFmtId="0" fontId="28" fillId="2" borderId="8" xfId="0" applyFont="1" applyFill="1" applyBorder="1" applyAlignment="1">
      <alignment vertical="center"/>
    </xf>
    <xf numFmtId="0" fontId="28" fillId="2" borderId="4" xfId="0" applyFont="1" applyFill="1" applyBorder="1" applyAlignment="1">
      <alignment vertical="center"/>
    </xf>
    <xf numFmtId="0" fontId="28" fillId="2" borderId="8" xfId="0" applyFont="1" applyFill="1" applyBorder="1" applyAlignment="1">
      <alignment horizontal="left" vertical="center"/>
    </xf>
    <xf numFmtId="0" fontId="29" fillId="2" borderId="26" xfId="0" applyFont="1" applyFill="1" applyBorder="1" applyAlignment="1">
      <alignment horizontal="left" vertical="center"/>
    </xf>
    <xf numFmtId="0" fontId="31" fillId="2" borderId="0" xfId="0" applyFont="1" applyFill="1"/>
    <xf numFmtId="0" fontId="28" fillId="2" borderId="30" xfId="0" applyFont="1" applyFill="1" applyBorder="1" applyAlignment="1">
      <alignment horizontal="center" vertical="center"/>
    </xf>
    <xf numFmtId="0" fontId="28" fillId="2" borderId="31" xfId="0" applyFont="1" applyFill="1" applyBorder="1" applyAlignment="1">
      <alignment horizontal="left" vertical="center"/>
    </xf>
    <xf numFmtId="0" fontId="28" fillId="2" borderId="44" xfId="0" applyFont="1" applyFill="1" applyBorder="1" applyAlignment="1">
      <alignment horizontal="center" textRotation="90" wrapText="1"/>
    </xf>
    <xf numFmtId="164" fontId="26" fillId="0" borderId="1" xfId="0" applyNumberFormat="1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0" fontId="21" fillId="0" borderId="4" xfId="0" applyFont="1" applyBorder="1" applyAlignment="1">
      <alignment vertical="center"/>
    </xf>
    <xf numFmtId="0" fontId="21" fillId="2" borderId="1" xfId="0" applyFont="1" applyFill="1" applyBorder="1" applyAlignment="1">
      <alignment vertical="center"/>
    </xf>
    <xf numFmtId="2" fontId="28" fillId="4" borderId="35" xfId="0" applyNumberFormat="1" applyFont="1" applyFill="1" applyBorder="1" applyAlignment="1">
      <alignment horizontal="center" textRotation="90" wrapText="1"/>
    </xf>
    <xf numFmtId="14" fontId="0" fillId="0" borderId="9" xfId="0" applyNumberFormat="1" applyBorder="1"/>
    <xf numFmtId="0" fontId="0" fillId="0" borderId="11" xfId="0" applyBorder="1" applyAlignment="1">
      <alignment wrapText="1"/>
    </xf>
    <xf numFmtId="0" fontId="23" fillId="2" borderId="3" xfId="0" applyFont="1" applyFill="1" applyBorder="1" applyAlignment="1">
      <alignment horizontal="center"/>
    </xf>
    <xf numFmtId="0" fontId="24" fillId="2" borderId="0" xfId="0" applyFont="1" applyFill="1" applyAlignment="1">
      <alignment horizontal="left"/>
    </xf>
    <xf numFmtId="0" fontId="26" fillId="2" borderId="5" xfId="0" applyFont="1" applyFill="1" applyBorder="1" applyAlignment="1">
      <alignment horizontal="center"/>
    </xf>
    <xf numFmtId="0" fontId="27" fillId="2" borderId="4" xfId="0" applyFont="1" applyFill="1" applyBorder="1" applyAlignment="1">
      <alignment horizontal="left"/>
    </xf>
    <xf numFmtId="0" fontId="28" fillId="2" borderId="27" xfId="0" applyFont="1" applyFill="1" applyBorder="1" applyAlignment="1">
      <alignment vertical="center"/>
    </xf>
    <xf numFmtId="0" fontId="28" fillId="2" borderId="4" xfId="0" applyFont="1" applyFill="1" applyBorder="1" applyAlignment="1">
      <alignment horizontal="left" vertical="center"/>
    </xf>
    <xf numFmtId="0" fontId="29" fillId="2" borderId="0" xfId="0" applyFont="1" applyFill="1"/>
    <xf numFmtId="0" fontId="29" fillId="0" borderId="0" xfId="0" applyFont="1"/>
    <xf numFmtId="0" fontId="29" fillId="2" borderId="0" xfId="0" applyFont="1" applyFill="1" applyAlignment="1">
      <alignment vertical="center"/>
    </xf>
    <xf numFmtId="0" fontId="33" fillId="2" borderId="30" xfId="0" applyFont="1" applyFill="1" applyBorder="1" applyAlignment="1">
      <alignment horizontal="left" vertical="center"/>
    </xf>
    <xf numFmtId="0" fontId="33" fillId="2" borderId="31" xfId="0" applyFont="1" applyFill="1" applyBorder="1" applyAlignment="1">
      <alignment horizontal="left" vertical="center"/>
    </xf>
    <xf numFmtId="0" fontId="33" fillId="2" borderId="31" xfId="0" applyFont="1" applyFill="1" applyBorder="1" applyAlignment="1">
      <alignment horizontal="right" vertical="center"/>
    </xf>
    <xf numFmtId="0" fontId="33" fillId="2" borderId="45" xfId="0" applyFont="1" applyFill="1" applyBorder="1" applyAlignment="1">
      <alignment horizontal="center" vertical="center"/>
    </xf>
    <xf numFmtId="0" fontId="34" fillId="2" borderId="46" xfId="0" applyFont="1" applyFill="1" applyBorder="1" applyAlignment="1">
      <alignment horizontal="center" vertical="center"/>
    </xf>
    <xf numFmtId="0" fontId="31" fillId="2" borderId="27" xfId="0" applyFont="1" applyFill="1" applyBorder="1" applyAlignment="1">
      <alignment vertical="center"/>
    </xf>
    <xf numFmtId="0" fontId="31" fillId="2" borderId="24" xfId="0" applyFont="1" applyFill="1" applyBorder="1" applyAlignment="1">
      <alignment vertical="center"/>
    </xf>
    <xf numFmtId="0" fontId="21" fillId="2" borderId="24" xfId="0" applyFont="1" applyFill="1" applyBorder="1" applyAlignment="1">
      <alignment vertical="center"/>
    </xf>
    <xf numFmtId="0" fontId="29" fillId="2" borderId="24" xfId="0" applyFont="1" applyFill="1" applyBorder="1" applyAlignment="1">
      <alignment horizontal="right" vertical="center"/>
    </xf>
    <xf numFmtId="0" fontId="29" fillId="2" borderId="25" xfId="0" applyFont="1" applyFill="1" applyBorder="1" applyAlignment="1">
      <alignment horizontal="right" vertical="center"/>
    </xf>
    <xf numFmtId="49" fontId="29" fillId="2" borderId="25" xfId="0" applyNumberFormat="1" applyFont="1" applyFill="1" applyBorder="1" applyAlignment="1">
      <alignment horizontal="center" vertical="center"/>
    </xf>
    <xf numFmtId="0" fontId="31" fillId="2" borderId="47" xfId="0" applyFont="1" applyFill="1" applyBorder="1" applyAlignment="1">
      <alignment vertical="center"/>
    </xf>
    <xf numFmtId="0" fontId="31" fillId="2" borderId="48" xfId="0" applyFont="1" applyFill="1" applyBorder="1" applyAlignment="1">
      <alignment vertical="center"/>
    </xf>
    <xf numFmtId="0" fontId="21" fillId="2" borderId="48" xfId="0" applyFont="1" applyFill="1" applyBorder="1" applyAlignment="1">
      <alignment vertical="center"/>
    </xf>
    <xf numFmtId="0" fontId="29" fillId="2" borderId="28" xfId="0" applyFont="1" applyFill="1" applyBorder="1" applyAlignment="1">
      <alignment horizontal="left" vertical="center"/>
    </xf>
    <xf numFmtId="0" fontId="31" fillId="2" borderId="6" xfId="0" applyFont="1" applyFill="1" applyBorder="1" applyAlignment="1">
      <alignment vertical="center"/>
    </xf>
    <xf numFmtId="0" fontId="31" fillId="2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horizontal="left" vertical="center"/>
    </xf>
    <xf numFmtId="0" fontId="29" fillId="2" borderId="1" xfId="0" applyFont="1" applyFill="1" applyBorder="1" applyAlignment="1">
      <alignment horizontal="right" vertical="center"/>
    </xf>
    <xf numFmtId="49" fontId="29" fillId="2" borderId="1" xfId="0" applyNumberFormat="1" applyFont="1" applyFill="1" applyBorder="1" applyAlignment="1">
      <alignment horizontal="right" vertical="center"/>
    </xf>
    <xf numFmtId="0" fontId="31" fillId="2" borderId="49" xfId="0" applyFont="1" applyFill="1" applyBorder="1" applyAlignment="1">
      <alignment vertical="center"/>
    </xf>
    <xf numFmtId="0" fontId="21" fillId="2" borderId="50" xfId="0" applyFont="1" applyFill="1" applyBorder="1" applyAlignment="1">
      <alignment vertical="center"/>
    </xf>
    <xf numFmtId="0" fontId="29" fillId="2" borderId="50" xfId="0" applyFont="1" applyFill="1" applyBorder="1" applyAlignment="1">
      <alignment vertical="center"/>
    </xf>
    <xf numFmtId="0" fontId="29" fillId="2" borderId="50" xfId="0" applyFont="1" applyFill="1" applyBorder="1" applyAlignment="1">
      <alignment horizontal="left" vertical="center"/>
    </xf>
    <xf numFmtId="0" fontId="29" fillId="2" borderId="50" xfId="0" applyFont="1" applyFill="1" applyBorder="1" applyAlignment="1">
      <alignment horizontal="right" vertical="center"/>
    </xf>
    <xf numFmtId="49" fontId="29" fillId="2" borderId="50" xfId="0" applyNumberFormat="1" applyFont="1" applyFill="1" applyBorder="1" applyAlignment="1">
      <alignment horizontal="center" vertical="center"/>
    </xf>
    <xf numFmtId="0" fontId="29" fillId="2" borderId="51" xfId="0" applyFont="1" applyFill="1" applyBorder="1" applyAlignment="1">
      <alignment horizontal="left" vertical="center"/>
    </xf>
    <xf numFmtId="0" fontId="31" fillId="2" borderId="29" xfId="0" applyFont="1" applyFill="1" applyBorder="1" applyAlignment="1">
      <alignment vertical="center"/>
    </xf>
    <xf numFmtId="0" fontId="21" fillId="2" borderId="26" xfId="0" applyFont="1" applyFill="1" applyBorder="1" applyAlignment="1">
      <alignment vertical="center"/>
    </xf>
    <xf numFmtId="0" fontId="29" fillId="2" borderId="26" xfId="0" applyFont="1" applyFill="1" applyBorder="1" applyAlignment="1">
      <alignment vertical="center"/>
    </xf>
    <xf numFmtId="0" fontId="29" fillId="2" borderId="26" xfId="0" applyFont="1" applyFill="1" applyBorder="1" applyAlignment="1">
      <alignment horizontal="right" vertical="center"/>
    </xf>
    <xf numFmtId="0" fontId="29" fillId="2" borderId="7" xfId="0" applyFont="1" applyFill="1" applyBorder="1" applyAlignment="1">
      <alignment horizontal="left" vertical="center"/>
    </xf>
    <xf numFmtId="0" fontId="31" fillId="2" borderId="31" xfId="0" applyFont="1" applyFill="1" applyBorder="1" applyAlignment="1">
      <alignment vertical="center"/>
    </xf>
    <xf numFmtId="0" fontId="21" fillId="2" borderId="31" xfId="0" applyFont="1" applyFill="1" applyBorder="1" applyAlignment="1">
      <alignment vertical="center"/>
    </xf>
    <xf numFmtId="0" fontId="29" fillId="2" borderId="31" xfId="0" applyFont="1" applyFill="1" applyBorder="1" applyAlignment="1">
      <alignment vertical="center"/>
    </xf>
    <xf numFmtId="0" fontId="29" fillId="2" borderId="31" xfId="0" applyFont="1" applyFill="1" applyBorder="1" applyAlignment="1">
      <alignment horizontal="right" vertical="center"/>
    </xf>
    <xf numFmtId="2" fontId="21" fillId="2" borderId="31" xfId="0" applyNumberFormat="1" applyFont="1" applyFill="1" applyBorder="1" applyAlignment="1">
      <alignment horizontal="right" vertical="center"/>
    </xf>
    <xf numFmtId="0" fontId="29" fillId="2" borderId="24" xfId="0" applyFont="1" applyFill="1" applyBorder="1" applyAlignment="1">
      <alignment vertical="center"/>
    </xf>
    <xf numFmtId="2" fontId="21" fillId="2" borderId="53" xfId="0" applyNumberFormat="1" applyFont="1" applyFill="1" applyBorder="1" applyAlignment="1">
      <alignment horizontal="right" vertical="center"/>
    </xf>
    <xf numFmtId="0" fontId="21" fillId="2" borderId="25" xfId="0" applyFont="1" applyFill="1" applyBorder="1" applyAlignment="1">
      <alignment vertical="center"/>
    </xf>
    <xf numFmtId="0" fontId="29" fillId="2" borderId="25" xfId="0" applyFont="1" applyFill="1" applyBorder="1" applyAlignment="1">
      <alignment vertical="center"/>
    </xf>
    <xf numFmtId="2" fontId="21" fillId="5" borderId="54" xfId="0" applyNumberFormat="1" applyFont="1" applyFill="1" applyBorder="1" applyAlignment="1" applyProtection="1">
      <alignment horizontal="right" vertical="center"/>
      <protection locked="0"/>
    </xf>
    <xf numFmtId="0" fontId="31" fillId="2" borderId="28" xfId="0" applyFont="1" applyFill="1" applyBorder="1" applyAlignment="1">
      <alignment horizontal="left" vertical="center"/>
    </xf>
    <xf numFmtId="0" fontId="31" fillId="2" borderId="25" xfId="0" applyFont="1" applyFill="1" applyBorder="1" applyAlignment="1">
      <alignment vertical="center"/>
    </xf>
    <xf numFmtId="0" fontId="29" fillId="2" borderId="25" xfId="0" applyFont="1" applyFill="1" applyBorder="1" applyAlignment="1">
      <alignment horizontal="center" vertical="center"/>
    </xf>
    <xf numFmtId="0" fontId="29" fillId="2" borderId="47" xfId="0" applyFont="1" applyFill="1" applyBorder="1" applyAlignment="1">
      <alignment horizontal="left" vertical="center"/>
    </xf>
    <xf numFmtId="0" fontId="29" fillId="0" borderId="48" xfId="0" applyFont="1" applyBorder="1" applyAlignment="1" applyProtection="1">
      <alignment horizontal="center" vertical="center"/>
      <protection locked="0"/>
    </xf>
    <xf numFmtId="0" fontId="21" fillId="2" borderId="30" xfId="0" applyFont="1" applyFill="1" applyBorder="1" applyAlignment="1">
      <alignment vertical="center"/>
    </xf>
    <xf numFmtId="0" fontId="21" fillId="2" borderId="31" xfId="0" applyFont="1" applyFill="1" applyBorder="1" applyAlignment="1">
      <alignment horizontal="right" vertical="center"/>
    </xf>
    <xf numFmtId="2" fontId="29" fillId="0" borderId="31" xfId="0" applyNumberFormat="1" applyFont="1" applyBorder="1" applyAlignment="1">
      <alignment horizontal="right" vertical="center"/>
    </xf>
    <xf numFmtId="0" fontId="21" fillId="0" borderId="51" xfId="0" applyFont="1" applyBorder="1"/>
    <xf numFmtId="0" fontId="29" fillId="2" borderId="43" xfId="0" applyFont="1" applyFill="1" applyBorder="1" applyAlignment="1" applyProtection="1">
      <alignment horizontal="center" vertical="center"/>
      <protection locked="0"/>
    </xf>
    <xf numFmtId="0" fontId="3" fillId="2" borderId="28" xfId="0" applyFont="1" applyFill="1" applyBorder="1" applyAlignment="1">
      <alignment horizontal="left" vertical="center"/>
    </xf>
    <xf numFmtId="0" fontId="35" fillId="5" borderId="25" xfId="0" applyFont="1" applyFill="1" applyBorder="1" applyAlignment="1" applyProtection="1">
      <alignment horizontal="center" vertical="center"/>
      <protection locked="0"/>
    </xf>
    <xf numFmtId="0" fontId="31" fillId="2" borderId="8" xfId="0" applyFont="1" applyFill="1" applyBorder="1" applyAlignment="1">
      <alignment vertical="center"/>
    </xf>
    <xf numFmtId="0" fontId="31" fillId="2" borderId="4" xfId="0" applyFont="1" applyFill="1" applyBorder="1" applyAlignment="1">
      <alignment vertical="center"/>
    </xf>
    <xf numFmtId="0" fontId="21" fillId="2" borderId="4" xfId="0" applyFont="1" applyFill="1" applyBorder="1" applyAlignment="1">
      <alignment vertical="center"/>
    </xf>
    <xf numFmtId="0" fontId="29" fillId="2" borderId="4" xfId="0" applyFont="1" applyFill="1" applyBorder="1" applyAlignment="1">
      <alignment horizontal="right" vertical="center"/>
    </xf>
    <xf numFmtId="0" fontId="3" fillId="2" borderId="29" xfId="0" applyFont="1" applyFill="1" applyBorder="1" applyAlignment="1">
      <alignment horizontal="left" vertical="center"/>
    </xf>
    <xf numFmtId="0" fontId="31" fillId="2" borderId="28" xfId="0" applyFont="1" applyFill="1" applyBorder="1" applyAlignment="1">
      <alignment vertical="center"/>
    </xf>
    <xf numFmtId="0" fontId="31" fillId="2" borderId="57" xfId="0" applyFont="1" applyFill="1" applyBorder="1" applyAlignment="1">
      <alignment vertical="center"/>
    </xf>
    <xf numFmtId="0" fontId="21" fillId="2" borderId="58" xfId="0" applyFont="1" applyFill="1" applyBorder="1" applyAlignment="1">
      <alignment vertical="center"/>
    </xf>
    <xf numFmtId="0" fontId="29" fillId="2" borderId="58" xfId="0" applyFont="1" applyFill="1" applyBorder="1" applyAlignment="1">
      <alignment horizontal="right" vertical="center"/>
    </xf>
    <xf numFmtId="49" fontId="29" fillId="2" borderId="58" xfId="0" applyNumberFormat="1" applyFont="1" applyFill="1" applyBorder="1" applyAlignment="1">
      <alignment horizontal="right" vertical="center"/>
    </xf>
    <xf numFmtId="2" fontId="21" fillId="5" borderId="59" xfId="0" applyNumberFormat="1" applyFont="1" applyFill="1" applyBorder="1" applyAlignment="1" applyProtection="1">
      <alignment horizontal="right" vertical="center"/>
      <protection locked="0"/>
    </xf>
    <xf numFmtId="0" fontId="35" fillId="2" borderId="30" xfId="0" applyFont="1" applyFill="1" applyBorder="1" applyAlignment="1">
      <alignment vertical="center"/>
    </xf>
    <xf numFmtId="0" fontId="35" fillId="2" borderId="31" xfId="0" applyFont="1" applyFill="1" applyBorder="1" applyAlignment="1">
      <alignment vertical="center"/>
    </xf>
    <xf numFmtId="0" fontId="35" fillId="2" borderId="31" xfId="0" applyFont="1" applyFill="1" applyBorder="1" applyAlignment="1">
      <alignment horizontal="right" vertical="center"/>
    </xf>
    <xf numFmtId="49" fontId="35" fillId="2" borderId="31" xfId="0" applyNumberFormat="1" applyFont="1" applyFill="1" applyBorder="1" applyAlignment="1" applyProtection="1">
      <alignment horizontal="center" vertical="center"/>
      <protection locked="0"/>
    </xf>
    <xf numFmtId="0" fontId="21" fillId="2" borderId="27" xfId="0" applyFont="1" applyFill="1" applyBorder="1" applyAlignment="1">
      <alignment vertical="center"/>
    </xf>
    <xf numFmtId="0" fontId="21" fillId="2" borderId="24" xfId="0" applyFont="1" applyFill="1" applyBorder="1" applyAlignment="1">
      <alignment horizontal="right" vertical="center"/>
    </xf>
    <xf numFmtId="2" fontId="29" fillId="2" borderId="24" xfId="0" applyNumberFormat="1" applyFont="1" applyFill="1" applyBorder="1" applyAlignment="1">
      <alignment horizontal="right" vertical="center"/>
    </xf>
    <xf numFmtId="2" fontId="21" fillId="2" borderId="52" xfId="0" applyNumberFormat="1" applyFont="1" applyFill="1" applyBorder="1" applyAlignment="1">
      <alignment horizontal="right" vertical="center"/>
    </xf>
    <xf numFmtId="0" fontId="29" fillId="2" borderId="8" xfId="0" applyFont="1" applyFill="1" applyBorder="1" applyAlignment="1">
      <alignment vertical="center"/>
    </xf>
    <xf numFmtId="0" fontId="31" fillId="2" borderId="29" xfId="0" applyFont="1" applyFill="1" applyBorder="1" applyAlignment="1">
      <alignment horizontal="left" vertical="center"/>
    </xf>
    <xf numFmtId="0" fontId="31" fillId="2" borderId="26" xfId="0" applyFont="1" applyFill="1" applyBorder="1" applyAlignment="1">
      <alignment vertical="center"/>
    </xf>
    <xf numFmtId="0" fontId="28" fillId="2" borderId="6" xfId="0" applyFont="1" applyFill="1" applyBorder="1" applyAlignment="1" applyProtection="1">
      <alignment vertical="center"/>
      <protection locked="0"/>
    </xf>
    <xf numFmtId="0" fontId="21" fillId="2" borderId="7" xfId="0" applyFont="1" applyFill="1" applyBorder="1" applyProtection="1">
      <protection locked="0"/>
    </xf>
    <xf numFmtId="0" fontId="21" fillId="2" borderId="8" xfId="0" applyFont="1" applyFill="1" applyBorder="1" applyProtection="1">
      <protection locked="0"/>
    </xf>
    <xf numFmtId="0" fontId="0" fillId="0" borderId="23" xfId="0" applyBorder="1" applyAlignment="1">
      <alignment wrapText="1"/>
    </xf>
    <xf numFmtId="0" fontId="0" fillId="0" borderId="0" xfId="0" applyAlignment="1">
      <alignment wrapText="1"/>
    </xf>
    <xf numFmtId="0" fontId="0" fillId="0" borderId="18" xfId="0" applyBorder="1" applyAlignment="1">
      <alignment wrapText="1"/>
    </xf>
    <xf numFmtId="164" fontId="29" fillId="0" borderId="60" xfId="0" applyNumberFormat="1" applyFont="1" applyBorder="1" applyAlignment="1">
      <alignment horizontal="center" vertical="center" wrapText="1"/>
    </xf>
    <xf numFmtId="166" fontId="29" fillId="0" borderId="61" xfId="0" applyNumberFormat="1" applyFont="1" applyBorder="1" applyAlignment="1">
      <alignment horizontal="center" vertical="center"/>
    </xf>
    <xf numFmtId="0" fontId="29" fillId="0" borderId="62" xfId="0" applyFont="1" applyBorder="1" applyAlignment="1">
      <alignment horizontal="center" vertical="center"/>
    </xf>
    <xf numFmtId="2" fontId="28" fillId="2" borderId="63" xfId="0" applyNumberFormat="1" applyFont="1" applyFill="1" applyBorder="1" applyAlignment="1">
      <alignment horizontal="center" textRotation="90" wrapText="1"/>
    </xf>
    <xf numFmtId="0" fontId="28" fillId="2" borderId="63" xfId="0" applyFont="1" applyFill="1" applyBorder="1" applyAlignment="1">
      <alignment horizontal="center" textRotation="90" wrapText="1"/>
    </xf>
    <xf numFmtId="0" fontId="6" fillId="2" borderId="31" xfId="0" applyFont="1" applyFill="1" applyBorder="1" applyAlignment="1">
      <alignment vertical="center"/>
    </xf>
    <xf numFmtId="0" fontId="6" fillId="2" borderId="32" xfId="0" applyFont="1" applyFill="1" applyBorder="1" applyAlignment="1">
      <alignment vertical="center"/>
    </xf>
    <xf numFmtId="0" fontId="6" fillId="2" borderId="64" xfId="0" applyFont="1" applyFill="1" applyBorder="1" applyAlignment="1">
      <alignment vertical="center"/>
    </xf>
    <xf numFmtId="0" fontId="6" fillId="2" borderId="33" xfId="0" applyFont="1" applyFill="1" applyBorder="1" applyAlignment="1">
      <alignment textRotation="90" wrapText="1"/>
    </xf>
    <xf numFmtId="0" fontId="6" fillId="2" borderId="30" xfId="0" applyFont="1" applyFill="1" applyBorder="1" applyAlignment="1">
      <alignment vertical="center"/>
    </xf>
    <xf numFmtId="0" fontId="6" fillId="0" borderId="64" xfId="0" applyFont="1" applyBorder="1" applyAlignment="1">
      <alignment vertical="center"/>
    </xf>
    <xf numFmtId="0" fontId="36" fillId="0" borderId="17" xfId="0" applyFont="1" applyBorder="1" applyAlignment="1">
      <alignment vertical="center"/>
    </xf>
    <xf numFmtId="0" fontId="37" fillId="0" borderId="18" xfId="0" applyFont="1" applyBorder="1" applyAlignment="1">
      <alignment vertical="center"/>
    </xf>
    <xf numFmtId="0" fontId="37" fillId="0" borderId="16" xfId="0" applyFont="1" applyBorder="1"/>
    <xf numFmtId="0" fontId="37" fillId="0" borderId="0" xfId="0" applyFont="1"/>
    <xf numFmtId="168" fontId="37" fillId="0" borderId="17" xfId="9" applyNumberFormat="1" applyFont="1" applyBorder="1"/>
    <xf numFmtId="168" fontId="37" fillId="0" borderId="18" xfId="9" applyNumberFormat="1" applyFont="1" applyBorder="1"/>
    <xf numFmtId="168" fontId="37" fillId="0" borderId="14" xfId="9" applyNumberFormat="1" applyFont="1" applyBorder="1"/>
    <xf numFmtId="168" fontId="37" fillId="0" borderId="15" xfId="9" applyNumberFormat="1" applyFont="1" applyBorder="1"/>
    <xf numFmtId="168" fontId="37" fillId="0" borderId="9" xfId="9" applyNumberFormat="1" applyFont="1" applyBorder="1"/>
    <xf numFmtId="168" fontId="37" fillId="0" borderId="11" xfId="9" applyNumberFormat="1" applyFont="1" applyBorder="1"/>
    <xf numFmtId="0" fontId="21" fillId="0" borderId="0" xfId="0" applyFont="1" applyAlignment="1">
      <alignment wrapText="1"/>
    </xf>
    <xf numFmtId="0" fontId="21" fillId="2" borderId="0" xfId="0" applyFont="1" applyFill="1" applyAlignment="1">
      <alignment wrapText="1"/>
    </xf>
    <xf numFmtId="0" fontId="21" fillId="0" borderId="0" xfId="0" applyFont="1" applyAlignment="1">
      <alignment horizontal="left" vertical="top" wrapText="1"/>
    </xf>
    <xf numFmtId="0" fontId="40" fillId="0" borderId="0" xfId="0" applyFont="1"/>
    <xf numFmtId="0" fontId="40" fillId="0" borderId="4" xfId="0" applyFont="1" applyBorder="1"/>
    <xf numFmtId="0" fontId="5" fillId="0" borderId="31" xfId="0" applyFont="1" applyBorder="1"/>
    <xf numFmtId="0" fontId="28" fillId="2" borderId="30" xfId="0" applyFont="1" applyFill="1" applyBorder="1" applyAlignment="1">
      <alignment vertical="center"/>
    </xf>
    <xf numFmtId="0" fontId="6" fillId="2" borderId="33" xfId="0" applyFont="1" applyFill="1" applyBorder="1" applyAlignment="1">
      <alignment horizontal="center" textRotation="90" wrapText="1"/>
    </xf>
    <xf numFmtId="0" fontId="6" fillId="2" borderId="0" xfId="0" applyFont="1" applyFill="1" applyAlignment="1">
      <alignment horizontal="center" textRotation="90" wrapText="1"/>
    </xf>
    <xf numFmtId="0" fontId="6" fillId="2" borderId="0" xfId="0" applyFont="1" applyFill="1" applyAlignment="1">
      <alignment textRotation="90" wrapText="1"/>
    </xf>
    <xf numFmtId="0" fontId="28" fillId="2" borderId="31" xfId="0" applyFont="1" applyFill="1" applyBorder="1" applyAlignment="1">
      <alignment vertical="center" wrapText="1"/>
    </xf>
    <xf numFmtId="0" fontId="28" fillId="2" borderId="32" xfId="0" applyFont="1" applyFill="1" applyBorder="1" applyAlignment="1">
      <alignment vertical="center" wrapText="1"/>
    </xf>
    <xf numFmtId="0" fontId="21" fillId="0" borderId="67" xfId="0" applyFont="1" applyBorder="1"/>
    <xf numFmtId="0" fontId="21" fillId="0" borderId="68" xfId="0" applyFont="1" applyBorder="1"/>
    <xf numFmtId="0" fontId="21" fillId="0" borderId="69" xfId="0" applyFont="1" applyBorder="1"/>
    <xf numFmtId="0" fontId="28" fillId="0" borderId="36" xfId="0" applyFont="1" applyBorder="1" applyAlignment="1">
      <alignment horizontal="center" textRotation="90" wrapText="1"/>
    </xf>
    <xf numFmtId="0" fontId="28" fillId="0" borderId="33" xfId="0" applyFont="1" applyBorder="1" applyAlignment="1">
      <alignment horizontal="center" textRotation="90" wrapText="1"/>
    </xf>
    <xf numFmtId="0" fontId="28" fillId="0" borderId="63" xfId="0" applyFont="1" applyBorder="1" applyAlignment="1">
      <alignment horizontal="center" textRotation="90" wrapText="1"/>
    </xf>
    <xf numFmtId="0" fontId="21" fillId="2" borderId="6" xfId="0" applyFont="1" applyFill="1" applyBorder="1"/>
    <xf numFmtId="0" fontId="21" fillId="2" borderId="1" xfId="0" applyFont="1" applyFill="1" applyBorder="1"/>
    <xf numFmtId="0" fontId="21" fillId="2" borderId="2" xfId="0" applyFont="1" applyFill="1" applyBorder="1"/>
    <xf numFmtId="0" fontId="21" fillId="2" borderId="5" xfId="0" applyFont="1" applyFill="1" applyBorder="1"/>
    <xf numFmtId="0" fontId="35" fillId="0" borderId="8" xfId="0" applyFont="1" applyBorder="1" applyAlignment="1">
      <alignment horizontal="left" vertical="top"/>
    </xf>
    <xf numFmtId="14" fontId="29" fillId="0" borderId="0" xfId="0" applyNumberFormat="1" applyFont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2" fontId="28" fillId="2" borderId="32" xfId="0" applyNumberFormat="1" applyFont="1" applyFill="1" applyBorder="1" applyAlignment="1">
      <alignment vertical="center"/>
    </xf>
    <xf numFmtId="0" fontId="29" fillId="2" borderId="30" xfId="0" applyFont="1" applyFill="1" applyBorder="1" applyAlignment="1">
      <alignment vertical="center"/>
    </xf>
    <xf numFmtId="0" fontId="29" fillId="2" borderId="32" xfId="0" applyFont="1" applyFill="1" applyBorder="1" applyAlignment="1">
      <alignment vertical="center"/>
    </xf>
    <xf numFmtId="0" fontId="21" fillId="2" borderId="32" xfId="0" applyFont="1" applyFill="1" applyBorder="1" applyAlignment="1">
      <alignment vertical="center"/>
    </xf>
    <xf numFmtId="2" fontId="26" fillId="3" borderId="73" xfId="0" applyNumberFormat="1" applyFont="1" applyFill="1" applyBorder="1" applyAlignment="1">
      <alignment horizontal="center" vertical="center"/>
    </xf>
    <xf numFmtId="2" fontId="26" fillId="3" borderId="74" xfId="0" applyNumberFormat="1" applyFont="1" applyFill="1" applyBorder="1" applyAlignment="1">
      <alignment horizontal="center" vertical="center"/>
    </xf>
    <xf numFmtId="166" fontId="29" fillId="0" borderId="24" xfId="0" applyNumberFormat="1" applyFont="1" applyBorder="1" applyAlignment="1">
      <alignment horizontal="center" vertical="center"/>
    </xf>
    <xf numFmtId="164" fontId="29" fillId="0" borderId="24" xfId="0" applyNumberFormat="1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0" fontId="40" fillId="0" borderId="0" xfId="0" applyFont="1" applyAlignment="1">
      <alignment horizontal="center"/>
    </xf>
    <xf numFmtId="0" fontId="27" fillId="2" borderId="0" xfId="0" applyFont="1" applyFill="1" applyAlignment="1">
      <alignment horizontal="center"/>
    </xf>
    <xf numFmtId="0" fontId="28" fillId="2" borderId="0" xfId="0" applyFont="1" applyFill="1" applyAlignment="1">
      <alignment vertical="center"/>
    </xf>
    <xf numFmtId="0" fontId="28" fillId="2" borderId="64" xfId="0" applyFont="1" applyFill="1" applyBorder="1" applyAlignment="1">
      <alignment horizontal="center" textRotation="90" wrapText="1"/>
    </xf>
    <xf numFmtId="0" fontId="21" fillId="2" borderId="0" xfId="0" applyFont="1" applyFill="1" applyAlignment="1" applyProtection="1">
      <alignment horizontal="center"/>
      <protection locked="0"/>
    </xf>
    <xf numFmtId="49" fontId="21" fillId="2" borderId="0" xfId="0" applyNumberFormat="1" applyFont="1" applyFill="1" applyAlignment="1" applyProtection="1">
      <alignment vertical="center"/>
      <protection locked="0"/>
    </xf>
    <xf numFmtId="2" fontId="26" fillId="3" borderId="75" xfId="0" applyNumberFormat="1" applyFont="1" applyFill="1" applyBorder="1" applyAlignment="1">
      <alignment horizontal="center" vertical="center"/>
    </xf>
    <xf numFmtId="0" fontId="21" fillId="2" borderId="0" xfId="0" applyFont="1" applyFill="1" applyAlignment="1" applyProtection="1">
      <alignment horizontal="center" vertical="center"/>
      <protection locked="0"/>
    </xf>
    <xf numFmtId="0" fontId="26" fillId="2" borderId="4" xfId="0" applyFont="1" applyFill="1" applyBorder="1" applyAlignment="1">
      <alignment horizontal="left"/>
    </xf>
    <xf numFmtId="0" fontId="28" fillId="2" borderId="27" xfId="0" applyFont="1" applyFill="1" applyBorder="1" applyAlignment="1">
      <alignment horizontal="left" vertical="center"/>
    </xf>
    <xf numFmtId="0" fontId="28" fillId="2" borderId="24" xfId="0" applyFont="1" applyFill="1" applyBorder="1" applyAlignment="1">
      <alignment horizontal="left" vertical="center"/>
    </xf>
    <xf numFmtId="0" fontId="28" fillId="2" borderId="28" xfId="0" applyFont="1" applyFill="1" applyBorder="1" applyAlignment="1">
      <alignment horizontal="left" vertical="center"/>
    </xf>
    <xf numFmtId="0" fontId="28" fillId="2" borderId="25" xfId="0" applyFont="1" applyFill="1" applyBorder="1" applyAlignment="1">
      <alignment horizontal="left" vertical="center"/>
    </xf>
    <xf numFmtId="2" fontId="21" fillId="6" borderId="53" xfId="0" applyNumberFormat="1" applyFont="1" applyFill="1" applyBorder="1" applyAlignment="1">
      <alignment horizontal="right" vertical="center"/>
    </xf>
    <xf numFmtId="2" fontId="21" fillId="6" borderId="76" xfId="0" applyNumberFormat="1" applyFont="1" applyFill="1" applyBorder="1" applyAlignment="1">
      <alignment horizontal="right" vertical="center"/>
    </xf>
    <xf numFmtId="2" fontId="21" fillId="6" borderId="77" xfId="0" applyNumberFormat="1" applyFont="1" applyFill="1" applyBorder="1" applyAlignment="1">
      <alignment horizontal="right" vertical="center"/>
    </xf>
    <xf numFmtId="2" fontId="21" fillId="6" borderId="78" xfId="0" applyNumberFormat="1" applyFont="1" applyFill="1" applyBorder="1" applyAlignment="1">
      <alignment horizontal="right" vertical="center"/>
    </xf>
    <xf numFmtId="2" fontId="21" fillId="6" borderId="79" xfId="0" applyNumberFormat="1" applyFont="1" applyFill="1" applyBorder="1" applyAlignment="1">
      <alignment horizontal="right" vertical="center"/>
    </xf>
    <xf numFmtId="2" fontId="21" fillId="6" borderId="54" xfId="0" applyNumberFormat="1" applyFont="1" applyFill="1" applyBorder="1" applyAlignment="1">
      <alignment horizontal="right" vertical="center"/>
    </xf>
    <xf numFmtId="2" fontId="31" fillId="6" borderId="46" xfId="0" applyNumberFormat="1" applyFont="1" applyFill="1" applyBorder="1" applyAlignment="1">
      <alignment horizontal="right" vertical="center"/>
    </xf>
    <xf numFmtId="2" fontId="31" fillId="6" borderId="80" xfId="0" applyNumberFormat="1" applyFont="1" applyFill="1" applyBorder="1" applyAlignment="1">
      <alignment horizontal="right" vertical="center"/>
    </xf>
    <xf numFmtId="2" fontId="21" fillId="6" borderId="80" xfId="0" applyNumberFormat="1" applyFont="1" applyFill="1" applyBorder="1" applyAlignment="1">
      <alignment horizontal="right" vertical="center"/>
    </xf>
    <xf numFmtId="2" fontId="35" fillId="6" borderId="46" xfId="0" applyNumberFormat="1" applyFont="1" applyFill="1" applyBorder="1" applyAlignment="1">
      <alignment horizontal="right" vertical="center"/>
    </xf>
    <xf numFmtId="2" fontId="35" fillId="5" borderId="81" xfId="0" applyNumberFormat="1" applyFont="1" applyFill="1" applyBorder="1" applyAlignment="1" applyProtection="1">
      <alignment horizontal="center" vertical="center"/>
      <protection locked="0"/>
    </xf>
    <xf numFmtId="2" fontId="35" fillId="5" borderId="82" xfId="0" applyNumberFormat="1" applyFont="1" applyFill="1" applyBorder="1" applyAlignment="1" applyProtection="1">
      <alignment horizontal="center" vertical="center"/>
      <protection locked="0"/>
    </xf>
    <xf numFmtId="2" fontId="21" fillId="6" borderId="52" xfId="0" applyNumberFormat="1" applyFont="1" applyFill="1" applyBorder="1" applyAlignment="1">
      <alignment horizontal="right" vertical="center"/>
    </xf>
    <xf numFmtId="2" fontId="21" fillId="6" borderId="83" xfId="0" applyNumberFormat="1" applyFont="1" applyFill="1" applyBorder="1" applyAlignment="1">
      <alignment horizontal="right" vertical="center"/>
    </xf>
    <xf numFmtId="2" fontId="21" fillId="6" borderId="84" xfId="0" applyNumberFormat="1" applyFont="1" applyFill="1" applyBorder="1" applyAlignment="1">
      <alignment horizontal="right" vertical="center"/>
    </xf>
    <xf numFmtId="2" fontId="21" fillId="6" borderId="85" xfId="0" applyNumberFormat="1" applyFont="1" applyFill="1" applyBorder="1" applyAlignment="1">
      <alignment horizontal="right" vertical="center"/>
    </xf>
    <xf numFmtId="2" fontId="21" fillId="6" borderId="86" xfId="0" applyNumberFormat="1" applyFont="1" applyFill="1" applyBorder="1" applyAlignment="1">
      <alignment horizontal="right" vertical="center"/>
    </xf>
    <xf numFmtId="2" fontId="21" fillId="6" borderId="87" xfId="0" applyNumberFormat="1" applyFont="1" applyFill="1" applyBorder="1" applyAlignment="1">
      <alignment horizontal="right" vertical="center"/>
    </xf>
    <xf numFmtId="2" fontId="31" fillId="6" borderId="45" xfId="0" applyNumberFormat="1" applyFont="1" applyFill="1" applyBorder="1" applyAlignment="1">
      <alignment horizontal="right" vertical="center"/>
    </xf>
    <xf numFmtId="2" fontId="31" fillId="6" borderId="88" xfId="0" applyNumberFormat="1" applyFont="1" applyFill="1" applyBorder="1" applyAlignment="1">
      <alignment horizontal="right" vertical="center"/>
    </xf>
    <xf numFmtId="2" fontId="21" fillId="6" borderId="89" xfId="0" applyNumberFormat="1" applyFont="1" applyFill="1" applyBorder="1" applyAlignment="1">
      <alignment horizontal="right" vertical="center"/>
    </xf>
    <xf numFmtId="2" fontId="21" fillId="5" borderId="87" xfId="0" applyNumberFormat="1" applyFont="1" applyFill="1" applyBorder="1" applyAlignment="1" applyProtection="1">
      <alignment horizontal="right" vertical="center"/>
      <protection locked="0"/>
    </xf>
    <xf numFmtId="2" fontId="21" fillId="5" borderId="90" xfId="0" applyNumberFormat="1" applyFont="1" applyFill="1" applyBorder="1" applyAlignment="1" applyProtection="1">
      <alignment horizontal="right" vertical="center"/>
      <protection locked="0"/>
    </xf>
    <xf numFmtId="49" fontId="26" fillId="5" borderId="41" xfId="0" applyNumberFormat="1" applyFont="1" applyFill="1" applyBorder="1" applyAlignment="1" applyProtection="1">
      <alignment horizontal="center" vertical="center"/>
      <protection locked="0"/>
    </xf>
    <xf numFmtId="49" fontId="26" fillId="5" borderId="93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94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93" xfId="0" applyNumberFormat="1" applyFont="1" applyFill="1" applyBorder="1" applyAlignment="1" applyProtection="1">
      <alignment horizontal="center" vertical="center"/>
      <protection locked="0"/>
    </xf>
    <xf numFmtId="2" fontId="26" fillId="5" borderId="95" xfId="0" applyNumberFormat="1" applyFont="1" applyFill="1" applyBorder="1" applyAlignment="1" applyProtection="1">
      <alignment horizontal="center" vertical="center"/>
      <protection locked="0"/>
    </xf>
    <xf numFmtId="2" fontId="26" fillId="5" borderId="93" xfId="0" applyNumberFormat="1" applyFont="1" applyFill="1" applyBorder="1" applyAlignment="1" applyProtection="1">
      <alignment horizontal="center" vertical="center"/>
      <protection locked="0"/>
    </xf>
    <xf numFmtId="0" fontId="26" fillId="5" borderId="73" xfId="0" applyFont="1" applyFill="1" applyBorder="1" applyAlignment="1" applyProtection="1">
      <alignment horizontal="center" vertical="center" wrapText="1"/>
      <protection locked="0"/>
    </xf>
    <xf numFmtId="0" fontId="26" fillId="5" borderId="96" xfId="0" applyFont="1" applyFill="1" applyBorder="1" applyAlignment="1" applyProtection="1">
      <alignment horizontal="center" vertical="center" wrapText="1"/>
      <protection locked="0"/>
    </xf>
    <xf numFmtId="0" fontId="26" fillId="5" borderId="97" xfId="0" applyFont="1" applyFill="1" applyBorder="1" applyAlignment="1" applyProtection="1">
      <alignment horizontal="center" vertical="center" wrapText="1"/>
      <protection locked="0"/>
    </xf>
    <xf numFmtId="49" fontId="26" fillId="5" borderId="73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96" xfId="0" applyNumberFormat="1" applyFont="1" applyFill="1" applyBorder="1" applyAlignment="1" applyProtection="1">
      <alignment horizontal="center" vertical="center"/>
      <protection locked="0"/>
    </xf>
    <xf numFmtId="169" fontId="26" fillId="5" borderId="75" xfId="0" applyNumberFormat="1" applyFont="1" applyFill="1" applyBorder="1" applyAlignment="1" applyProtection="1">
      <alignment horizontal="center" vertical="center"/>
      <protection locked="0"/>
    </xf>
    <xf numFmtId="49" fontId="26" fillId="5" borderId="98" xfId="0" applyNumberFormat="1" applyFont="1" applyFill="1" applyBorder="1" applyAlignment="1" applyProtection="1">
      <alignment horizontal="center" vertical="center"/>
      <protection locked="0"/>
    </xf>
    <xf numFmtId="2" fontId="26" fillId="5" borderId="96" xfId="0" applyNumberFormat="1" applyFont="1" applyFill="1" applyBorder="1" applyAlignment="1" applyProtection="1">
      <alignment horizontal="center" vertical="center"/>
      <protection locked="0"/>
    </xf>
    <xf numFmtId="166" fontId="26" fillId="5" borderId="97" xfId="0" applyNumberFormat="1" applyFont="1" applyFill="1" applyBorder="1" applyAlignment="1" applyProtection="1">
      <alignment horizontal="center" vertical="center"/>
      <protection locked="0"/>
    </xf>
    <xf numFmtId="0" fontId="26" fillId="5" borderId="99" xfId="0" applyFont="1" applyFill="1" applyBorder="1" applyAlignment="1" applyProtection="1">
      <alignment horizontal="center" vertical="center" wrapText="1"/>
      <protection locked="0"/>
    </xf>
    <xf numFmtId="2" fontId="26" fillId="6" borderId="95" xfId="0" applyNumberFormat="1" applyFont="1" applyFill="1" applyBorder="1" applyAlignment="1">
      <alignment horizontal="center" vertical="center"/>
    </xf>
    <xf numFmtId="169" fontId="26" fillId="6" borderId="75" xfId="0" applyNumberFormat="1" applyFont="1" applyFill="1" applyBorder="1" applyAlignment="1">
      <alignment horizontal="center" vertical="center"/>
    </xf>
    <xf numFmtId="0" fontId="26" fillId="5" borderId="93" xfId="0" applyFont="1" applyFill="1" applyBorder="1" applyAlignment="1" applyProtection="1">
      <alignment horizontal="center" vertical="center"/>
      <protection locked="0"/>
    </xf>
    <xf numFmtId="0" fontId="26" fillId="5" borderId="100" xfId="0" applyFont="1" applyFill="1" applyBorder="1" applyAlignment="1" applyProtection="1">
      <alignment horizontal="center" vertical="center"/>
      <protection locked="0"/>
    </xf>
    <xf numFmtId="0" fontId="26" fillId="5" borderId="73" xfId="0" applyFont="1" applyFill="1" applyBorder="1" applyAlignment="1" applyProtection="1">
      <alignment horizontal="center" vertical="center"/>
      <protection locked="0"/>
    </xf>
    <xf numFmtId="0" fontId="26" fillId="5" borderId="96" xfId="0" applyFont="1" applyFill="1" applyBorder="1" applyAlignment="1" applyProtection="1">
      <alignment horizontal="center" vertical="center"/>
      <protection locked="0"/>
    </xf>
    <xf numFmtId="2" fontId="26" fillId="5" borderId="75" xfId="0" applyNumberFormat="1" applyFont="1" applyFill="1" applyBorder="1" applyAlignment="1" applyProtection="1">
      <alignment horizontal="center" vertical="center"/>
      <protection locked="0"/>
    </xf>
    <xf numFmtId="0" fontId="26" fillId="5" borderId="98" xfId="0" applyFont="1" applyFill="1" applyBorder="1" applyAlignment="1" applyProtection="1">
      <alignment horizontal="center" vertical="center"/>
      <protection locked="0"/>
    </xf>
    <xf numFmtId="166" fontId="26" fillId="5" borderId="73" xfId="0" applyNumberFormat="1" applyFont="1" applyFill="1" applyBorder="1" applyAlignment="1" applyProtection="1">
      <alignment horizontal="center" vertical="center"/>
      <protection locked="0"/>
    </xf>
    <xf numFmtId="169" fontId="29" fillId="6" borderId="101" xfId="0" applyNumberFormat="1" applyFont="1" applyFill="1" applyBorder="1" applyAlignment="1">
      <alignment horizontal="center" vertical="center"/>
    </xf>
    <xf numFmtId="169" fontId="29" fillId="6" borderId="102" xfId="0" applyNumberFormat="1" applyFont="1" applyFill="1" applyBorder="1" applyAlignment="1">
      <alignment horizontal="center" vertical="center"/>
    </xf>
    <xf numFmtId="0" fontId="26" fillId="5" borderId="73" xfId="0" applyFont="1" applyFill="1" applyBorder="1" applyAlignment="1" applyProtection="1">
      <alignment horizontal="left" vertical="center" wrapText="1"/>
      <protection locked="0"/>
    </xf>
    <xf numFmtId="169" fontId="26" fillId="5" borderId="96" xfId="0" applyNumberFormat="1" applyFont="1" applyFill="1" applyBorder="1" applyAlignment="1" applyProtection="1">
      <alignment horizontal="center" vertical="center"/>
      <protection locked="0"/>
    </xf>
    <xf numFmtId="2" fontId="26" fillId="6" borderId="75" xfId="0" applyNumberFormat="1" applyFont="1" applyFill="1" applyBorder="1" applyAlignment="1">
      <alignment horizontal="center" vertical="center"/>
    </xf>
    <xf numFmtId="2" fontId="26" fillId="6" borderId="73" xfId="0" applyNumberFormat="1" applyFont="1" applyFill="1" applyBorder="1" applyAlignment="1">
      <alignment horizontal="center" vertical="center"/>
    </xf>
    <xf numFmtId="2" fontId="26" fillId="6" borderId="96" xfId="0" applyNumberFormat="1" applyFont="1" applyFill="1" applyBorder="1" applyAlignment="1">
      <alignment horizontal="center" vertical="center"/>
    </xf>
    <xf numFmtId="0" fontId="26" fillId="5" borderId="94" xfId="0" applyFont="1" applyFill="1" applyBorder="1" applyAlignment="1" applyProtection="1">
      <alignment horizontal="center" vertical="center"/>
      <protection locked="0"/>
    </xf>
    <xf numFmtId="0" fontId="26" fillId="5" borderId="93" xfId="0" applyFont="1" applyFill="1" applyBorder="1" applyAlignment="1" applyProtection="1">
      <alignment horizontal="center" vertical="center" wrapText="1"/>
      <protection locked="0"/>
    </xf>
    <xf numFmtId="0" fontId="26" fillId="5" borderId="94" xfId="0" applyFont="1" applyFill="1" applyBorder="1" applyAlignment="1" applyProtection="1">
      <alignment horizontal="center" vertical="center" wrapText="1"/>
      <protection locked="0"/>
    </xf>
    <xf numFmtId="0" fontId="26" fillId="5" borderId="41" xfId="0" applyFont="1" applyFill="1" applyBorder="1" applyAlignment="1" applyProtection="1">
      <alignment horizontal="center" vertical="center" wrapText="1"/>
      <protection locked="0"/>
    </xf>
    <xf numFmtId="2" fontId="26" fillId="5" borderId="98" xfId="0" applyNumberFormat="1" applyFont="1" applyFill="1" applyBorder="1" applyAlignment="1" applyProtection="1">
      <alignment horizontal="center" vertical="center"/>
      <protection locked="0"/>
    </xf>
    <xf numFmtId="2" fontId="26" fillId="6" borderId="41" xfId="0" applyNumberFormat="1" applyFont="1" applyFill="1" applyBorder="1" applyAlignment="1">
      <alignment horizontal="center" vertical="center"/>
    </xf>
    <xf numFmtId="2" fontId="26" fillId="6" borderId="93" xfId="0" applyNumberFormat="1" applyFont="1" applyFill="1" applyBorder="1" applyAlignment="1">
      <alignment horizontal="center" vertical="center"/>
    </xf>
    <xf numFmtId="2" fontId="26" fillId="6" borderId="103" xfId="0" applyNumberFormat="1" applyFont="1" applyFill="1" applyBorder="1" applyAlignment="1">
      <alignment horizontal="center" vertical="center"/>
    </xf>
    <xf numFmtId="2" fontId="26" fillId="6" borderId="104" xfId="0" applyNumberFormat="1" applyFont="1" applyFill="1" applyBorder="1" applyAlignment="1">
      <alignment horizontal="center" vertical="center"/>
    </xf>
    <xf numFmtId="2" fontId="26" fillId="6" borderId="74" xfId="0" applyNumberFormat="1" applyFont="1" applyFill="1" applyBorder="1" applyAlignment="1">
      <alignment horizontal="center" vertical="center"/>
    </xf>
    <xf numFmtId="2" fontId="26" fillId="6" borderId="105" xfId="0" applyNumberFormat="1" applyFont="1" applyFill="1" applyBorder="1" applyAlignment="1">
      <alignment horizontal="center" vertical="center"/>
    </xf>
    <xf numFmtId="2" fontId="26" fillId="6" borderId="106" xfId="0" applyNumberFormat="1" applyFont="1" applyFill="1" applyBorder="1" applyAlignment="1">
      <alignment horizontal="center" vertical="center"/>
    </xf>
    <xf numFmtId="2" fontId="26" fillId="6" borderId="107" xfId="0" applyNumberFormat="1" applyFont="1" applyFill="1" applyBorder="1" applyAlignment="1">
      <alignment horizontal="center" vertical="center"/>
    </xf>
    <xf numFmtId="2" fontId="26" fillId="6" borderId="94" xfId="0" applyNumberFormat="1" applyFont="1" applyFill="1" applyBorder="1" applyAlignment="1">
      <alignment horizontal="center" vertical="center"/>
    </xf>
    <xf numFmtId="2" fontId="26" fillId="6" borderId="97" xfId="0" applyNumberFormat="1" applyFont="1" applyFill="1" applyBorder="1" applyAlignment="1">
      <alignment horizontal="center" vertical="center"/>
    </xf>
    <xf numFmtId="2" fontId="26" fillId="6" borderId="108" xfId="0" applyNumberFormat="1" applyFont="1" applyFill="1" applyBorder="1" applyAlignment="1">
      <alignment horizontal="center" vertical="center"/>
    </xf>
    <xf numFmtId="2" fontId="29" fillId="6" borderId="102" xfId="0" applyNumberFormat="1" applyFont="1" applyFill="1" applyBorder="1" applyAlignment="1">
      <alignment horizontal="center" vertical="center"/>
    </xf>
    <xf numFmtId="2" fontId="29" fillId="6" borderId="101" xfId="0" applyNumberFormat="1" applyFont="1" applyFill="1" applyBorder="1" applyAlignment="1">
      <alignment horizontal="center" vertical="center"/>
    </xf>
    <xf numFmtId="2" fontId="29" fillId="6" borderId="109" xfId="0" applyNumberFormat="1" applyFont="1" applyFill="1" applyBorder="1" applyAlignment="1">
      <alignment horizontal="center" vertical="center"/>
    </xf>
    <xf numFmtId="2" fontId="26" fillId="5" borderId="100" xfId="0" applyNumberFormat="1" applyFont="1" applyFill="1" applyBorder="1" applyAlignment="1" applyProtection="1">
      <alignment horizontal="center" vertical="center"/>
      <protection locked="0"/>
    </xf>
    <xf numFmtId="10" fontId="26" fillId="5" borderId="93" xfId="8" applyNumberFormat="1" applyFont="1" applyFill="1" applyBorder="1" applyAlignment="1" applyProtection="1">
      <alignment horizontal="center" vertical="center" wrapText="1"/>
      <protection locked="0"/>
    </xf>
    <xf numFmtId="2" fontId="26" fillId="5" borderId="93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96" xfId="0" applyNumberFormat="1" applyFont="1" applyFill="1" applyBorder="1" applyAlignment="1" applyProtection="1">
      <alignment horizontal="center" vertical="center" wrapText="1"/>
      <protection locked="0"/>
    </xf>
    <xf numFmtId="10" fontId="26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26" fillId="5" borderId="96" xfId="0" applyNumberFormat="1" applyFont="1" applyFill="1" applyBorder="1" applyAlignment="1" applyProtection="1">
      <alignment horizontal="center" vertical="center" wrapText="1"/>
      <protection locked="0"/>
    </xf>
    <xf numFmtId="0" fontId="26" fillId="5" borderId="74" xfId="0" applyFont="1" applyFill="1" applyBorder="1" applyAlignment="1" applyProtection="1">
      <alignment horizontal="center" vertical="center"/>
      <protection locked="0"/>
    </xf>
    <xf numFmtId="0" fontId="26" fillId="5" borderId="34" xfId="0" applyFont="1" applyFill="1" applyBorder="1" applyAlignment="1" applyProtection="1">
      <alignment horizontal="center" vertical="center"/>
      <protection locked="0"/>
    </xf>
    <xf numFmtId="0" fontId="26" fillId="5" borderId="105" xfId="0" applyFont="1" applyFill="1" applyBorder="1" applyAlignment="1" applyProtection="1">
      <alignment horizontal="center" vertical="center" wrapText="1"/>
      <protection locked="0"/>
    </xf>
    <xf numFmtId="0" fontId="26" fillId="5" borderId="108" xfId="0" applyFont="1" applyFill="1" applyBorder="1" applyAlignment="1" applyProtection="1">
      <alignment horizontal="center" vertical="center" wrapText="1"/>
      <protection locked="0"/>
    </xf>
    <xf numFmtId="0" fontId="26" fillId="5" borderId="74" xfId="0" applyFont="1" applyFill="1" applyBorder="1" applyAlignment="1" applyProtection="1">
      <alignment horizontal="center" vertical="center" wrapText="1"/>
      <protection locked="0"/>
    </xf>
    <xf numFmtId="49" fontId="26" fillId="5" borderId="105" xfId="0" applyNumberFormat="1" applyFont="1" applyFill="1" applyBorder="1" applyAlignment="1" applyProtection="1">
      <alignment horizontal="center" vertical="center" wrapText="1"/>
      <protection locked="0"/>
    </xf>
    <xf numFmtId="2" fontId="26" fillId="5" borderId="110" xfId="0" applyNumberFormat="1" applyFont="1" applyFill="1" applyBorder="1" applyAlignment="1" applyProtection="1">
      <alignment horizontal="center" vertical="center"/>
      <protection locked="0"/>
    </xf>
    <xf numFmtId="2" fontId="26" fillId="5" borderId="105" xfId="0" applyNumberFormat="1" applyFont="1" applyFill="1" applyBorder="1" applyAlignment="1" applyProtection="1">
      <alignment horizontal="center" vertical="center" wrapText="1"/>
      <protection locked="0"/>
    </xf>
    <xf numFmtId="2" fontId="26" fillId="5" borderId="94" xfId="0" applyNumberFormat="1" applyFont="1" applyFill="1" applyBorder="1" applyAlignment="1" applyProtection="1">
      <alignment horizontal="center" vertical="center" wrapText="1"/>
      <protection locked="0"/>
    </xf>
    <xf numFmtId="2" fontId="26" fillId="5" borderId="97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73" xfId="0" applyNumberFormat="1" applyFont="1" applyFill="1" applyBorder="1" applyAlignment="1" applyProtection="1">
      <alignment horizontal="center" vertical="center"/>
      <protection locked="0"/>
    </xf>
    <xf numFmtId="0" fontId="26" fillId="5" borderId="97" xfId="0" applyFont="1" applyFill="1" applyBorder="1" applyAlignment="1" applyProtection="1">
      <alignment horizontal="center" vertical="center"/>
      <protection locked="0"/>
    </xf>
    <xf numFmtId="49" fontId="26" fillId="5" borderId="74" xfId="0" applyNumberFormat="1" applyFont="1" applyFill="1" applyBorder="1" applyAlignment="1" applyProtection="1">
      <alignment horizontal="center" vertical="center"/>
      <protection locked="0"/>
    </xf>
    <xf numFmtId="2" fontId="26" fillId="5" borderId="105" xfId="0" applyNumberFormat="1" applyFont="1" applyFill="1" applyBorder="1" applyAlignment="1" applyProtection="1">
      <alignment horizontal="center" vertical="center"/>
      <protection locked="0"/>
    </xf>
    <xf numFmtId="0" fontId="26" fillId="5" borderId="108" xfId="0" applyFont="1" applyFill="1" applyBorder="1" applyAlignment="1" applyProtection="1">
      <alignment horizontal="center" vertical="center"/>
      <protection locked="0"/>
    </xf>
    <xf numFmtId="166" fontId="26" fillId="5" borderId="41" xfId="0" applyNumberFormat="1" applyFont="1" applyFill="1" applyBorder="1" applyAlignment="1" applyProtection="1">
      <alignment horizontal="center" vertical="center"/>
      <protection locked="0"/>
    </xf>
    <xf numFmtId="166" fontId="26" fillId="5" borderId="74" xfId="0" applyNumberFormat="1" applyFont="1" applyFill="1" applyBorder="1" applyAlignment="1" applyProtection="1">
      <alignment horizontal="center" vertical="center"/>
      <protection locked="0"/>
    </xf>
    <xf numFmtId="3" fontId="29" fillId="6" borderId="101" xfId="0" applyNumberFormat="1" applyFont="1" applyFill="1" applyBorder="1" applyAlignment="1">
      <alignment horizontal="center" vertical="center"/>
    </xf>
    <xf numFmtId="4" fontId="29" fillId="6" borderId="102" xfId="0" applyNumberFormat="1" applyFont="1" applyFill="1" applyBorder="1" applyAlignment="1">
      <alignment horizontal="center" vertical="center"/>
    </xf>
    <xf numFmtId="3" fontId="26" fillId="6" borderId="95" xfId="0" applyNumberFormat="1" applyFont="1" applyFill="1" applyBorder="1" applyAlignment="1">
      <alignment horizontal="center" vertical="center"/>
    </xf>
    <xf numFmtId="3" fontId="26" fillId="6" borderId="93" xfId="0" applyNumberFormat="1" applyFont="1" applyFill="1" applyBorder="1" applyAlignment="1">
      <alignment horizontal="center" vertical="center"/>
    </xf>
    <xf numFmtId="3" fontId="26" fillId="6" borderId="75" xfId="0" applyNumberFormat="1" applyFont="1" applyFill="1" applyBorder="1" applyAlignment="1">
      <alignment horizontal="center" vertical="center"/>
    </xf>
    <xf numFmtId="3" fontId="26" fillId="6" borderId="96" xfId="0" applyNumberFormat="1" applyFont="1" applyFill="1" applyBorder="1" applyAlignment="1">
      <alignment horizontal="center" vertical="center"/>
    </xf>
    <xf numFmtId="3" fontId="26" fillId="6" borderId="107" xfId="0" applyNumberFormat="1" applyFont="1" applyFill="1" applyBorder="1" applyAlignment="1">
      <alignment horizontal="center" vertical="center"/>
    </xf>
    <xf numFmtId="3" fontId="26" fillId="6" borderId="105" xfId="0" applyNumberFormat="1" applyFont="1" applyFill="1" applyBorder="1" applyAlignment="1">
      <alignment horizontal="center" vertical="center"/>
    </xf>
    <xf numFmtId="0" fontId="26" fillId="5" borderId="55" xfId="0" applyFont="1" applyFill="1" applyBorder="1" applyAlignment="1" applyProtection="1">
      <alignment horizontal="center" vertical="center" wrapText="1"/>
      <protection locked="0"/>
    </xf>
    <xf numFmtId="0" fontId="26" fillId="5" borderId="95" xfId="0" applyFont="1" applyFill="1" applyBorder="1" applyAlignment="1" applyProtection="1">
      <alignment horizontal="center" vertical="center" wrapText="1"/>
      <protection locked="0"/>
    </xf>
    <xf numFmtId="3" fontId="26" fillId="5" borderId="93" xfId="0" applyNumberFormat="1" applyFont="1" applyFill="1" applyBorder="1" applyAlignment="1" applyProtection="1">
      <alignment horizontal="center" vertical="center"/>
      <protection locked="0"/>
    </xf>
    <xf numFmtId="3" fontId="26" fillId="5" borderId="94" xfId="0" applyNumberFormat="1" applyFont="1" applyFill="1" applyBorder="1" applyAlignment="1" applyProtection="1">
      <alignment horizontal="center" vertical="center"/>
      <protection locked="0"/>
    </xf>
    <xf numFmtId="0" fontId="26" fillId="5" borderId="95" xfId="0" applyFont="1" applyFill="1" applyBorder="1" applyAlignment="1" applyProtection="1">
      <alignment horizontal="center" vertical="center"/>
      <protection locked="0"/>
    </xf>
    <xf numFmtId="3" fontId="26" fillId="5" borderId="56" xfId="0" applyNumberFormat="1" applyFont="1" applyFill="1" applyBorder="1" applyAlignment="1" applyProtection="1">
      <alignment horizontal="center" vertical="center"/>
      <protection locked="0"/>
    </xf>
    <xf numFmtId="0" fontId="26" fillId="5" borderId="66" xfId="0" applyFont="1" applyFill="1" applyBorder="1" applyAlignment="1" applyProtection="1">
      <alignment horizontal="center" vertical="center" wrapText="1"/>
      <protection locked="0"/>
    </xf>
    <xf numFmtId="49" fontId="26" fillId="5" borderId="97" xfId="0" applyNumberFormat="1" applyFont="1" applyFill="1" applyBorder="1" applyAlignment="1" applyProtection="1">
      <alignment horizontal="center" vertical="center" wrapText="1"/>
      <protection locked="0"/>
    </xf>
    <xf numFmtId="0" fontId="26" fillId="5" borderId="75" xfId="0" applyFont="1" applyFill="1" applyBorder="1" applyAlignment="1" applyProtection="1">
      <alignment horizontal="center" vertical="center" wrapText="1"/>
      <protection locked="0"/>
    </xf>
    <xf numFmtId="3" fontId="26" fillId="5" borderId="96" xfId="0" applyNumberFormat="1" applyFont="1" applyFill="1" applyBorder="1" applyAlignment="1" applyProtection="1">
      <alignment horizontal="center" vertical="center"/>
      <protection locked="0"/>
    </xf>
    <xf numFmtId="3" fontId="26" fillId="5" borderId="97" xfId="0" applyNumberFormat="1" applyFont="1" applyFill="1" applyBorder="1" applyAlignment="1" applyProtection="1">
      <alignment horizontal="center" vertical="center"/>
      <protection locked="0"/>
    </xf>
    <xf numFmtId="0" fontId="26" fillId="5" borderId="75" xfId="0" applyFont="1" applyFill="1" applyBorder="1" applyAlignment="1" applyProtection="1">
      <alignment horizontal="center" vertical="center"/>
      <protection locked="0"/>
    </xf>
    <xf numFmtId="3" fontId="26" fillId="5" borderId="75" xfId="0" applyNumberFormat="1" applyFont="1" applyFill="1" applyBorder="1" applyAlignment="1" applyProtection="1">
      <alignment horizontal="center" vertical="center"/>
      <protection locked="0"/>
    </xf>
    <xf numFmtId="3" fontId="26" fillId="5" borderId="16" xfId="0" applyNumberFormat="1" applyFont="1" applyFill="1" applyBorder="1" applyAlignment="1" applyProtection="1">
      <alignment horizontal="center" vertical="center"/>
      <protection locked="0"/>
    </xf>
    <xf numFmtId="0" fontId="26" fillId="5" borderId="65" xfId="0" applyFont="1" applyFill="1" applyBorder="1" applyAlignment="1" applyProtection="1">
      <alignment horizontal="center" vertical="center" wrapText="1"/>
      <protection locked="0"/>
    </xf>
    <xf numFmtId="49" fontId="26" fillId="5" borderId="108" xfId="0" applyNumberFormat="1" applyFont="1" applyFill="1" applyBorder="1" applyAlignment="1" applyProtection="1">
      <alignment horizontal="center" vertical="center" wrapText="1"/>
      <protection locked="0"/>
    </xf>
    <xf numFmtId="0" fontId="26" fillId="5" borderId="107" xfId="0" applyFont="1" applyFill="1" applyBorder="1" applyAlignment="1" applyProtection="1">
      <alignment horizontal="center" vertical="center" wrapText="1"/>
      <protection locked="0"/>
    </xf>
    <xf numFmtId="3" fontId="26" fillId="5" borderId="105" xfId="0" applyNumberFormat="1" applyFont="1" applyFill="1" applyBorder="1" applyAlignment="1" applyProtection="1">
      <alignment horizontal="center" vertical="center"/>
      <protection locked="0"/>
    </xf>
    <xf numFmtId="3" fontId="26" fillId="5" borderId="108" xfId="0" applyNumberFormat="1" applyFont="1" applyFill="1" applyBorder="1" applyAlignment="1" applyProtection="1">
      <alignment horizontal="center" vertical="center"/>
      <protection locked="0"/>
    </xf>
    <xf numFmtId="0" fontId="26" fillId="5" borderId="107" xfId="0" applyFont="1" applyFill="1" applyBorder="1" applyAlignment="1" applyProtection="1">
      <alignment horizontal="center" vertical="center"/>
      <protection locked="0"/>
    </xf>
    <xf numFmtId="0" fontId="26" fillId="5" borderId="110" xfId="0" applyFont="1" applyFill="1" applyBorder="1" applyAlignment="1" applyProtection="1">
      <alignment horizontal="center" vertical="center"/>
      <protection locked="0"/>
    </xf>
    <xf numFmtId="49" fontId="26" fillId="5" borderId="105" xfId="0" applyNumberFormat="1" applyFont="1" applyFill="1" applyBorder="1" applyAlignment="1" applyProtection="1">
      <alignment horizontal="center" vertical="center"/>
      <protection locked="0"/>
    </xf>
    <xf numFmtId="3" fontId="26" fillId="5" borderId="111" xfId="0" applyNumberFormat="1" applyFont="1" applyFill="1" applyBorder="1" applyAlignment="1" applyProtection="1">
      <alignment horizontal="center" vertical="center"/>
      <protection locked="0"/>
    </xf>
    <xf numFmtId="0" fontId="26" fillId="5" borderId="105" xfId="0" applyFont="1" applyFill="1" applyBorder="1" applyAlignment="1" applyProtection="1">
      <alignment horizontal="center" vertical="center"/>
      <protection locked="0"/>
    </xf>
    <xf numFmtId="4" fontId="26" fillId="5" borderId="75" xfId="0" applyNumberFormat="1" applyFont="1" applyFill="1" applyBorder="1" applyAlignment="1" applyProtection="1">
      <alignment horizontal="center" vertical="center"/>
      <protection locked="0"/>
    </xf>
    <xf numFmtId="4" fontId="26" fillId="5" borderId="107" xfId="0" applyNumberFormat="1" applyFont="1" applyFill="1" applyBorder="1" applyAlignment="1" applyProtection="1">
      <alignment horizontal="center" vertical="center"/>
      <protection locked="0"/>
    </xf>
    <xf numFmtId="14" fontId="6" fillId="5" borderId="64" xfId="0" applyNumberFormat="1" applyFont="1" applyFill="1" applyBorder="1" applyAlignment="1">
      <alignment horizontal="center" vertical="center"/>
    </xf>
    <xf numFmtId="2" fontId="21" fillId="6" borderId="91" xfId="0" applyNumberFormat="1" applyFont="1" applyFill="1" applyBorder="1" applyAlignment="1">
      <alignment horizontal="center"/>
    </xf>
    <xf numFmtId="2" fontId="21" fillId="6" borderId="23" xfId="0" applyNumberFormat="1" applyFont="1" applyFill="1" applyBorder="1" applyAlignment="1">
      <alignment horizontal="center"/>
    </xf>
    <xf numFmtId="2" fontId="21" fillId="6" borderId="89" xfId="0" applyNumberFormat="1" applyFont="1" applyFill="1" applyBorder="1" applyAlignment="1">
      <alignment horizontal="center"/>
    </xf>
    <xf numFmtId="0" fontId="21" fillId="6" borderId="112" xfId="0" applyFont="1" applyFill="1" applyBorder="1" applyAlignment="1">
      <alignment horizontal="left" wrapText="1"/>
    </xf>
    <xf numFmtId="0" fontId="21" fillId="6" borderId="22" xfId="0" applyFont="1" applyFill="1" applyBorder="1" applyAlignment="1">
      <alignment horizontal="left" wrapText="1"/>
    </xf>
    <xf numFmtId="2" fontId="21" fillId="6" borderId="91" xfId="0" applyNumberFormat="1" applyFont="1" applyFill="1" applyBorder="1"/>
    <xf numFmtId="2" fontId="21" fillId="6" borderId="23" xfId="0" applyNumberFormat="1" applyFont="1" applyFill="1" applyBorder="1"/>
    <xf numFmtId="2" fontId="21" fillId="6" borderId="89" xfId="0" applyNumberFormat="1" applyFont="1" applyFill="1" applyBorder="1"/>
    <xf numFmtId="0" fontId="21" fillId="6" borderId="91" xfId="0" applyFont="1" applyFill="1" applyBorder="1"/>
    <xf numFmtId="0" fontId="21" fillId="6" borderId="23" xfId="0" applyFont="1" applyFill="1" applyBorder="1"/>
    <xf numFmtId="0" fontId="21" fillId="6" borderId="89" xfId="0" applyFont="1" applyFill="1" applyBorder="1"/>
    <xf numFmtId="165" fontId="21" fillId="5" borderId="91" xfId="0" applyNumberFormat="1" applyFont="1" applyFill="1" applyBorder="1"/>
    <xf numFmtId="165" fontId="21" fillId="5" borderId="23" xfId="0" applyNumberFormat="1" applyFont="1" applyFill="1" applyBorder="1"/>
    <xf numFmtId="165" fontId="21" fillId="5" borderId="89" xfId="0" applyNumberFormat="1" applyFont="1" applyFill="1" applyBorder="1"/>
    <xf numFmtId="0" fontId="21" fillId="5" borderId="91" xfId="0" applyFont="1" applyFill="1" applyBorder="1"/>
    <xf numFmtId="2" fontId="21" fillId="5" borderId="91" xfId="0" applyNumberFormat="1" applyFont="1" applyFill="1" applyBorder="1"/>
    <xf numFmtId="0" fontId="21" fillId="5" borderId="23" xfId="0" applyFont="1" applyFill="1" applyBorder="1"/>
    <xf numFmtId="2" fontId="21" fillId="5" borderId="23" xfId="0" applyNumberFormat="1" applyFont="1" applyFill="1" applyBorder="1"/>
    <xf numFmtId="0" fontId="21" fillId="5" borderId="89" xfId="0" applyFont="1" applyFill="1" applyBorder="1"/>
    <xf numFmtId="2" fontId="21" fillId="5" borderId="89" xfId="0" applyNumberFormat="1" applyFont="1" applyFill="1" applyBorder="1"/>
    <xf numFmtId="9" fontId="21" fillId="5" borderId="91" xfId="0" applyNumberFormat="1" applyFont="1" applyFill="1" applyBorder="1"/>
    <xf numFmtId="9" fontId="21" fillId="5" borderId="23" xfId="0" applyNumberFormat="1" applyFont="1" applyFill="1" applyBorder="1"/>
    <xf numFmtId="9" fontId="21" fillId="5" borderId="89" xfId="0" applyNumberFormat="1" applyFont="1" applyFill="1" applyBorder="1"/>
    <xf numFmtId="165" fontId="21" fillId="5" borderId="91" xfId="0" applyNumberFormat="1" applyFont="1" applyFill="1" applyBorder="1" applyAlignment="1">
      <alignment horizontal="center"/>
    </xf>
    <xf numFmtId="9" fontId="21" fillId="5" borderId="91" xfId="0" applyNumberFormat="1" applyFont="1" applyFill="1" applyBorder="1" applyAlignment="1">
      <alignment horizontal="center"/>
    </xf>
    <xf numFmtId="165" fontId="21" fillId="5" borderId="23" xfId="0" applyNumberFormat="1" applyFont="1" applyFill="1" applyBorder="1" applyAlignment="1">
      <alignment horizontal="center"/>
    </xf>
    <xf numFmtId="9" fontId="21" fillId="5" borderId="23" xfId="0" applyNumberFormat="1" applyFont="1" applyFill="1" applyBorder="1" applyAlignment="1">
      <alignment horizontal="center"/>
    </xf>
    <xf numFmtId="165" fontId="21" fillId="5" borderId="89" xfId="0" applyNumberFormat="1" applyFont="1" applyFill="1" applyBorder="1" applyAlignment="1">
      <alignment horizontal="center"/>
    </xf>
    <xf numFmtId="9" fontId="21" fillId="5" borderId="89" xfId="0" applyNumberFormat="1" applyFont="1" applyFill="1" applyBorder="1" applyAlignment="1">
      <alignment horizontal="center"/>
    </xf>
    <xf numFmtId="0" fontId="21" fillId="6" borderId="113" xfId="0" applyFont="1" applyFill="1" applyBorder="1" applyAlignment="1">
      <alignment horizontal="left" wrapText="1"/>
    </xf>
    <xf numFmtId="2" fontId="26" fillId="5" borderId="115" xfId="0" applyNumberFormat="1" applyFont="1" applyFill="1" applyBorder="1" applyAlignment="1" applyProtection="1">
      <alignment horizontal="center" vertical="center"/>
      <protection locked="0"/>
    </xf>
    <xf numFmtId="49" fontId="26" fillId="5" borderId="74" xfId="0" applyNumberFormat="1" applyFont="1" applyFill="1" applyBorder="1" applyAlignment="1" applyProtection="1">
      <alignment horizontal="center" vertical="center" wrapText="1"/>
      <protection locked="0"/>
    </xf>
    <xf numFmtId="169" fontId="26" fillId="5" borderId="107" xfId="0" applyNumberFormat="1" applyFont="1" applyFill="1" applyBorder="1" applyAlignment="1" applyProtection="1">
      <alignment horizontal="center" vertical="center"/>
      <protection locked="0"/>
    </xf>
    <xf numFmtId="49" fontId="26" fillId="5" borderId="110" xfId="0" applyNumberFormat="1" applyFont="1" applyFill="1" applyBorder="1" applyAlignment="1" applyProtection="1">
      <alignment horizontal="center" vertical="center"/>
      <protection locked="0"/>
    </xf>
    <xf numFmtId="166" fontId="26" fillId="5" borderId="108" xfId="0" applyNumberFormat="1" applyFont="1" applyFill="1" applyBorder="1" applyAlignment="1" applyProtection="1">
      <alignment horizontal="center" vertical="center"/>
      <protection locked="0"/>
    </xf>
    <xf numFmtId="2" fontId="26" fillId="5" borderId="107" xfId="0" applyNumberFormat="1" applyFont="1" applyFill="1" applyBorder="1" applyAlignment="1" applyProtection="1">
      <alignment horizontal="center" vertical="center"/>
      <protection locked="0"/>
    </xf>
    <xf numFmtId="0" fontId="26" fillId="5" borderId="114" xfId="0" applyFont="1" applyFill="1" applyBorder="1" applyAlignment="1" applyProtection="1">
      <alignment horizontal="center" vertical="center" wrapText="1"/>
      <protection locked="0"/>
    </xf>
    <xf numFmtId="165" fontId="26" fillId="5" borderId="115" xfId="0" applyNumberFormat="1" applyFont="1" applyFill="1" applyBorder="1" applyAlignment="1" applyProtection="1">
      <alignment horizontal="center" vertical="center"/>
      <protection locked="0"/>
    </xf>
    <xf numFmtId="2" fontId="26" fillId="6" borderId="117" xfId="0" applyNumberFormat="1" applyFont="1" applyFill="1" applyBorder="1" applyAlignment="1">
      <alignment horizontal="center" vertical="center"/>
    </xf>
    <xf numFmtId="0" fontId="26" fillId="5" borderId="74" xfId="0" applyFont="1" applyFill="1" applyBorder="1" applyAlignment="1" applyProtection="1">
      <alignment horizontal="left" vertical="center" wrapText="1"/>
      <protection locked="0"/>
    </xf>
    <xf numFmtId="169" fontId="26" fillId="5" borderId="105" xfId="0" applyNumberFormat="1" applyFont="1" applyFill="1" applyBorder="1" applyAlignment="1" applyProtection="1">
      <alignment horizontal="center" vertical="center"/>
      <protection locked="0"/>
    </xf>
    <xf numFmtId="2" fontId="26" fillId="6" borderId="116" xfId="0" applyNumberFormat="1" applyFont="1" applyFill="1" applyBorder="1" applyAlignment="1">
      <alignment horizontal="center" vertical="center"/>
    </xf>
    <xf numFmtId="2" fontId="26" fillId="6" borderId="99" xfId="0" applyNumberFormat="1" applyFont="1" applyFill="1" applyBorder="1" applyAlignment="1">
      <alignment horizontal="center" vertical="center"/>
    </xf>
    <xf numFmtId="0" fontId="40" fillId="2" borderId="0" xfId="0" applyFont="1" applyFill="1"/>
    <xf numFmtId="0" fontId="40" fillId="2" borderId="4" xfId="0" applyFont="1" applyFill="1" applyBorder="1"/>
    <xf numFmtId="0" fontId="41" fillId="2" borderId="0" xfId="0" applyFont="1" applyFill="1" applyAlignment="1">
      <alignment textRotation="90"/>
    </xf>
    <xf numFmtId="0" fontId="40" fillId="2" borderId="0" xfId="0" applyFont="1" applyFill="1" applyAlignment="1">
      <alignment textRotation="90"/>
    </xf>
    <xf numFmtId="0" fontId="40" fillId="2" borderId="0" xfId="0" applyFont="1" applyFill="1" applyAlignment="1">
      <alignment vertical="center" textRotation="90"/>
    </xf>
    <xf numFmtId="2" fontId="21" fillId="0" borderId="0" xfId="0" applyNumberFormat="1" applyFont="1"/>
    <xf numFmtId="0" fontId="40" fillId="0" borderId="0" xfId="0" applyFont="1" applyAlignment="1">
      <alignment wrapText="1"/>
    </xf>
    <xf numFmtId="169" fontId="29" fillId="6" borderId="118" xfId="0" applyNumberFormat="1" applyFont="1" applyFill="1" applyBorder="1" applyAlignment="1">
      <alignment horizontal="center" vertical="center"/>
    </xf>
    <xf numFmtId="169" fontId="29" fillId="6" borderId="109" xfId="0" applyNumberFormat="1" applyFont="1" applyFill="1" applyBorder="1" applyAlignment="1">
      <alignment horizontal="center" vertical="center"/>
    </xf>
    <xf numFmtId="169" fontId="29" fillId="6" borderId="81" xfId="0" applyNumberFormat="1" applyFont="1" applyFill="1" applyBorder="1" applyAlignment="1">
      <alignment horizontal="center" vertical="center"/>
    </xf>
    <xf numFmtId="169" fontId="29" fillId="6" borderId="82" xfId="0" applyNumberFormat="1" applyFont="1" applyFill="1" applyBorder="1" applyAlignment="1">
      <alignment horizontal="center" vertical="center"/>
    </xf>
    <xf numFmtId="2" fontId="29" fillId="6" borderId="81" xfId="0" applyNumberFormat="1" applyFont="1" applyFill="1" applyBorder="1" applyAlignment="1">
      <alignment horizontal="center" vertical="center"/>
    </xf>
    <xf numFmtId="2" fontId="29" fillId="6" borderId="82" xfId="0" applyNumberFormat="1" applyFont="1" applyFill="1" applyBorder="1" applyAlignment="1">
      <alignment horizontal="center" vertical="center"/>
    </xf>
    <xf numFmtId="2" fontId="29" fillId="6" borderId="118" xfId="0" applyNumberFormat="1" applyFont="1" applyFill="1" applyBorder="1" applyAlignment="1">
      <alignment horizontal="center" vertical="center"/>
    </xf>
    <xf numFmtId="3" fontId="29" fillId="6" borderId="109" xfId="0" applyNumberFormat="1" applyFont="1" applyFill="1" applyBorder="1" applyAlignment="1">
      <alignment horizontal="center" vertical="center"/>
    </xf>
    <xf numFmtId="4" fontId="29" fillId="6" borderId="81" xfId="0" applyNumberFormat="1" applyFont="1" applyFill="1" applyBorder="1" applyAlignment="1">
      <alignment horizontal="center" vertical="center"/>
    </xf>
    <xf numFmtId="3" fontId="29" fillId="6" borderId="118" xfId="0" applyNumberFormat="1" applyFont="1" applyFill="1" applyBorder="1" applyAlignment="1">
      <alignment horizontal="center" vertical="center"/>
    </xf>
    <xf numFmtId="4" fontId="29" fillId="6" borderId="82" xfId="0" applyNumberFormat="1" applyFont="1" applyFill="1" applyBorder="1" applyAlignment="1">
      <alignment horizontal="center" vertical="center"/>
    </xf>
    <xf numFmtId="0" fontId="39" fillId="7" borderId="23" xfId="0" applyFont="1" applyFill="1" applyBorder="1" applyAlignment="1">
      <alignment horizontal="center" vertical="center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center" wrapText="1"/>
    </xf>
    <xf numFmtId="0" fontId="43" fillId="0" borderId="0" xfId="0" applyFont="1"/>
    <xf numFmtId="0" fontId="43" fillId="7" borderId="23" xfId="0" applyFont="1" applyFill="1" applyBorder="1" applyAlignment="1">
      <alignment vertical="top"/>
    </xf>
    <xf numFmtId="0" fontId="43" fillId="7" borderId="23" xfId="0" applyFont="1" applyFill="1" applyBorder="1" applyAlignment="1">
      <alignment vertical="top" wrapText="1"/>
    </xf>
    <xf numFmtId="0" fontId="43" fillId="0" borderId="0" xfId="0" applyFont="1" applyAlignment="1">
      <alignment vertical="top"/>
    </xf>
    <xf numFmtId="0" fontId="39" fillId="7" borderId="23" xfId="0" applyFont="1" applyFill="1" applyBorder="1"/>
    <xf numFmtId="0" fontId="43" fillId="0" borderId="23" xfId="0" applyFont="1" applyBorder="1"/>
    <xf numFmtId="0" fontId="43" fillId="0" borderId="0" xfId="0" applyFont="1" applyAlignment="1">
      <alignment wrapText="1"/>
    </xf>
    <xf numFmtId="0" fontId="43" fillId="0" borderId="0" xfId="0" applyFont="1" applyAlignment="1">
      <alignment horizontal="center" vertical="center"/>
    </xf>
    <xf numFmtId="0" fontId="43" fillId="0" borderId="23" xfId="0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" vertical="center"/>
    </xf>
    <xf numFmtId="0" fontId="43" fillId="7" borderId="23" xfId="0" applyFont="1" applyFill="1" applyBorder="1"/>
    <xf numFmtId="0" fontId="21" fillId="2" borderId="19" xfId="0" applyFont="1" applyFill="1" applyBorder="1" applyProtection="1">
      <protection locked="0"/>
    </xf>
    <xf numFmtId="0" fontId="26" fillId="5" borderId="116" xfId="0" applyFont="1" applyFill="1" applyBorder="1" applyAlignment="1" applyProtection="1">
      <alignment horizontal="left" vertical="center" wrapText="1"/>
      <protection locked="0"/>
    </xf>
    <xf numFmtId="0" fontId="29" fillId="0" borderId="1" xfId="0" applyFont="1" applyBorder="1" applyAlignment="1">
      <alignment horizontal="center" vertical="center"/>
    </xf>
    <xf numFmtId="2" fontId="29" fillId="0" borderId="4" xfId="0" applyNumberFormat="1" applyFont="1" applyBorder="1" applyAlignment="1">
      <alignment horizontal="center" vertical="center"/>
    </xf>
    <xf numFmtId="2" fontId="29" fillId="0" borderId="119" xfId="0" applyNumberFormat="1" applyFont="1" applyBorder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0" fontId="29" fillId="0" borderId="120" xfId="0" applyFont="1" applyBorder="1" applyAlignment="1">
      <alignment horizontal="center" vertical="center"/>
    </xf>
    <xf numFmtId="2" fontId="29" fillId="0" borderId="120" xfId="0" applyNumberFormat="1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19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121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2" fontId="29" fillId="0" borderId="121" xfId="0" applyNumberFormat="1" applyFont="1" applyBorder="1" applyAlignment="1">
      <alignment horizontal="center" vertical="center"/>
    </xf>
    <xf numFmtId="1" fontId="29" fillId="5" borderId="122" xfId="0" applyNumberFormat="1" applyFont="1" applyFill="1" applyBorder="1" applyAlignment="1" applyProtection="1">
      <alignment horizontal="center" vertical="center"/>
      <protection locked="0"/>
    </xf>
    <xf numFmtId="3" fontId="29" fillId="5" borderId="25" xfId="0" applyNumberFormat="1" applyFont="1" applyFill="1" applyBorder="1" applyAlignment="1" applyProtection="1">
      <alignment horizontal="center" vertical="center"/>
      <protection locked="0"/>
    </xf>
    <xf numFmtId="3" fontId="29" fillId="5" borderId="122" xfId="0" applyNumberFormat="1" applyFont="1" applyFill="1" applyBorder="1" applyAlignment="1" applyProtection="1">
      <alignment horizontal="center" vertical="center"/>
      <protection locked="0"/>
    </xf>
    <xf numFmtId="0" fontId="21" fillId="2" borderId="7" xfId="0" applyFont="1" applyFill="1" applyBorder="1"/>
    <xf numFmtId="0" fontId="21" fillId="2" borderId="3" xfId="0" applyFont="1" applyFill="1" applyBorder="1"/>
    <xf numFmtId="0" fontId="29" fillId="2" borderId="29" xfId="0" applyFont="1" applyFill="1" applyBorder="1" applyAlignment="1">
      <alignment horizontal="left" vertical="center"/>
    </xf>
    <xf numFmtId="165" fontId="44" fillId="5" borderId="96" xfId="0" applyNumberFormat="1" applyFont="1" applyFill="1" applyBorder="1" applyAlignment="1" applyProtection="1">
      <alignment horizontal="center" vertical="center"/>
      <protection locked="0"/>
    </xf>
    <xf numFmtId="165" fontId="44" fillId="5" borderId="98" xfId="0" applyNumberFormat="1" applyFont="1" applyFill="1" applyBorder="1" applyAlignment="1" applyProtection="1">
      <alignment horizontal="center" vertical="center"/>
      <protection locked="0"/>
    </xf>
    <xf numFmtId="165" fontId="44" fillId="5" borderId="105" xfId="0" applyNumberFormat="1" applyFont="1" applyFill="1" applyBorder="1" applyAlignment="1" applyProtection="1">
      <alignment horizontal="center" vertical="center"/>
      <protection locked="0"/>
    </xf>
    <xf numFmtId="172" fontId="26" fillId="5" borderId="75" xfId="0" applyNumberFormat="1" applyFont="1" applyFill="1" applyBorder="1" applyAlignment="1" applyProtection="1">
      <alignment horizontal="center" vertical="center"/>
      <protection locked="0"/>
    </xf>
    <xf numFmtId="0" fontId="45" fillId="0" borderId="0" xfId="0" applyFont="1"/>
    <xf numFmtId="0" fontId="13" fillId="0" borderId="0" xfId="0" applyFont="1"/>
    <xf numFmtId="0" fontId="43" fillId="0" borderId="23" xfId="0" applyFont="1" applyBorder="1" applyAlignment="1">
      <alignment vertical="top"/>
    </xf>
    <xf numFmtId="0" fontId="43" fillId="9" borderId="23" xfId="0" applyFont="1" applyFill="1" applyBorder="1" applyAlignment="1">
      <alignment horizontal="center" vertical="center" wrapText="1"/>
    </xf>
    <xf numFmtId="0" fontId="43" fillId="9" borderId="23" xfId="0" applyFont="1" applyFill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2" borderId="0" xfId="0" applyFont="1" applyFill="1" applyAlignment="1">
      <alignment horizontal="center" vertical="center"/>
    </xf>
    <xf numFmtId="0" fontId="46" fillId="2" borderId="0" xfId="0" applyFont="1" applyFill="1" applyAlignment="1">
      <alignment horizontal="center" vertical="center" textRotation="90" wrapText="1"/>
    </xf>
    <xf numFmtId="164" fontId="41" fillId="0" borderId="0" xfId="0" applyNumberFormat="1" applyFont="1" applyAlignment="1">
      <alignment horizontal="center" vertical="center"/>
    </xf>
    <xf numFmtId="0" fontId="9" fillId="0" borderId="0" xfId="9" applyFont="1"/>
    <xf numFmtId="168" fontId="9" fillId="0" borderId="68" xfId="10" applyNumberFormat="1" applyBorder="1"/>
    <xf numFmtId="0" fontId="0" fillId="0" borderId="92" xfId="0" applyBorder="1"/>
    <xf numFmtId="168" fontId="9" fillId="0" borderId="69" xfId="10" applyNumberFormat="1" applyBorder="1"/>
    <xf numFmtId="0" fontId="0" fillId="0" borderId="123" xfId="0" applyBorder="1"/>
    <xf numFmtId="0" fontId="9" fillId="0" borderId="123" xfId="11" applyBorder="1"/>
    <xf numFmtId="0" fontId="13" fillId="0" borderId="69" xfId="0" applyFont="1" applyBorder="1" applyAlignment="1">
      <alignment wrapText="1"/>
    </xf>
    <xf numFmtId="168" fontId="9" fillId="0" borderId="67" xfId="10" applyNumberFormat="1" applyBorder="1"/>
    <xf numFmtId="0" fontId="0" fillId="0" borderId="124" xfId="0" applyBorder="1"/>
    <xf numFmtId="0" fontId="9" fillId="0" borderId="68" xfId="10" applyBorder="1"/>
    <xf numFmtId="0" fontId="9" fillId="0" borderId="92" xfId="9" applyFont="1" applyBorder="1"/>
    <xf numFmtId="0" fontId="9" fillId="0" borderId="69" xfId="10" applyBorder="1"/>
    <xf numFmtId="0" fontId="9" fillId="0" borderId="123" xfId="9" applyFont="1" applyBorder="1"/>
    <xf numFmtId="0" fontId="9" fillId="0" borderId="69" xfId="14" applyBorder="1" applyAlignment="1">
      <alignment horizontal="left" vertical="top"/>
    </xf>
    <xf numFmtId="0" fontId="9" fillId="0" borderId="123" xfId="14" applyBorder="1" applyAlignment="1">
      <alignment horizontal="left" vertical="top"/>
    </xf>
    <xf numFmtId="0" fontId="9" fillId="0" borderId="67" xfId="10" applyBorder="1"/>
    <xf numFmtId="0" fontId="9" fillId="0" borderId="124" xfId="9" applyFont="1" applyBorder="1"/>
    <xf numFmtId="0" fontId="39" fillId="10" borderId="23" xfId="0" applyFont="1" applyFill="1" applyBorder="1" applyAlignment="1">
      <alignment wrapText="1"/>
    </xf>
    <xf numFmtId="0" fontId="43" fillId="11" borderId="23" xfId="0" applyFont="1" applyFill="1" applyBorder="1" applyAlignment="1">
      <alignment vertical="top"/>
    </xf>
    <xf numFmtId="0" fontId="39" fillId="11" borderId="23" xfId="0" applyFont="1" applyFill="1" applyBorder="1" applyAlignment="1">
      <alignment horizontal="left"/>
    </xf>
    <xf numFmtId="0" fontId="39" fillId="11" borderId="23" xfId="0" applyFont="1" applyFill="1" applyBorder="1"/>
    <xf numFmtId="0" fontId="39" fillId="11" borderId="23" xfId="0" applyFont="1" applyFill="1" applyBorder="1" applyAlignment="1">
      <alignment wrapText="1"/>
    </xf>
    <xf numFmtId="0" fontId="39" fillId="11" borderId="23" xfId="0" applyFont="1" applyFill="1" applyBorder="1" applyAlignment="1">
      <alignment horizontal="left" vertical="top"/>
    </xf>
    <xf numFmtId="0" fontId="47" fillId="11" borderId="23" xfId="0" applyFont="1" applyFill="1" applyBorder="1" applyAlignment="1">
      <alignment vertical="top"/>
    </xf>
    <xf numFmtId="0" fontId="48" fillId="11" borderId="23" xfId="0" applyFont="1" applyFill="1" applyBorder="1" applyAlignment="1">
      <alignment horizontal="left"/>
    </xf>
    <xf numFmtId="0" fontId="39" fillId="12" borderId="23" xfId="0" applyFont="1" applyFill="1" applyBorder="1" applyAlignment="1">
      <alignment wrapText="1"/>
    </xf>
    <xf numFmtId="0" fontId="39" fillId="10" borderId="23" xfId="0" applyFont="1" applyFill="1" applyBorder="1" applyAlignment="1">
      <alignment horizontal="center" vertical="center"/>
    </xf>
    <xf numFmtId="0" fontId="43" fillId="11" borderId="23" xfId="0" applyFont="1" applyFill="1" applyBorder="1"/>
    <xf numFmtId="0" fontId="43" fillId="11" borderId="23" xfId="0" applyFont="1" applyFill="1" applyBorder="1" applyAlignment="1">
      <alignment horizontal="center" vertical="center"/>
    </xf>
    <xf numFmtId="0" fontId="39" fillId="11" borderId="23" xfId="0" applyFont="1" applyFill="1" applyBorder="1" applyAlignment="1">
      <alignment horizontal="center" vertical="center"/>
    </xf>
    <xf numFmtId="0" fontId="39" fillId="11" borderId="69" xfId="0" applyFont="1" applyFill="1" applyBorder="1" applyAlignment="1">
      <alignment horizontal="left"/>
    </xf>
    <xf numFmtId="0" fontId="43" fillId="9" borderId="0" xfId="0" applyFont="1" applyFill="1" applyAlignment="1">
      <alignment horizontal="center" vertical="center"/>
    </xf>
    <xf numFmtId="0" fontId="29" fillId="5" borderId="25" xfId="0" applyFont="1" applyFill="1" applyBorder="1" applyAlignment="1" applyProtection="1">
      <alignment horizontal="center" vertical="center"/>
      <protection locked="0"/>
    </xf>
    <xf numFmtId="0" fontId="29" fillId="5" borderId="26" xfId="0" applyFont="1" applyFill="1" applyBorder="1" applyAlignment="1" applyProtection="1">
      <alignment horizontal="center" vertical="center"/>
      <protection locked="0"/>
    </xf>
    <xf numFmtId="49" fontId="29" fillId="2" borderId="24" xfId="0" applyNumberFormat="1" applyFont="1" applyFill="1" applyBorder="1" applyAlignment="1">
      <alignment horizontal="center" vertical="center"/>
    </xf>
    <xf numFmtId="0" fontId="29" fillId="2" borderId="48" xfId="0" applyFont="1" applyFill="1" applyBorder="1" applyAlignment="1">
      <alignment vertical="center"/>
    </xf>
    <xf numFmtId="0" fontId="29" fillId="2" borderId="48" xfId="0" applyFont="1" applyFill="1" applyBorder="1" applyAlignment="1">
      <alignment horizontal="center" vertical="center"/>
    </xf>
    <xf numFmtId="0" fontId="29" fillId="2" borderId="48" xfId="0" applyFont="1" applyFill="1" applyBorder="1" applyAlignment="1">
      <alignment horizontal="right" vertical="center"/>
    </xf>
    <xf numFmtId="0" fontId="31" fillId="2" borderId="30" xfId="0" applyFont="1" applyFill="1" applyBorder="1" applyAlignment="1">
      <alignment vertical="center"/>
    </xf>
    <xf numFmtId="0" fontId="29" fillId="2" borderId="31" xfId="0" applyFont="1" applyFill="1" applyBorder="1" applyAlignment="1">
      <alignment horizontal="center" vertical="center"/>
    </xf>
    <xf numFmtId="3" fontId="21" fillId="5" borderId="31" xfId="0" applyNumberFormat="1" applyFont="1" applyFill="1" applyBorder="1" applyAlignment="1" applyProtection="1">
      <alignment horizontal="right" vertical="center"/>
      <protection locked="0"/>
    </xf>
    <xf numFmtId="4" fontId="21" fillId="5" borderId="32" xfId="0" applyNumberFormat="1" applyFont="1" applyFill="1" applyBorder="1" applyAlignment="1" applyProtection="1">
      <alignment horizontal="right" vertical="center"/>
      <protection locked="0"/>
    </xf>
    <xf numFmtId="4" fontId="21" fillId="6" borderId="86" xfId="0" applyNumberFormat="1" applyFont="1" applyFill="1" applyBorder="1" applyAlignment="1" applyProtection="1">
      <alignment horizontal="right" vertical="center"/>
      <protection locked="0"/>
    </xf>
    <xf numFmtId="0" fontId="31" fillId="2" borderId="65" xfId="0" applyFont="1" applyFill="1" applyBorder="1" applyAlignment="1">
      <alignment vertical="center"/>
    </xf>
    <xf numFmtId="0" fontId="31" fillId="2" borderId="111" xfId="0" applyFont="1" applyFill="1" applyBorder="1" applyAlignment="1">
      <alignment vertical="center"/>
    </xf>
    <xf numFmtId="0" fontId="21" fillId="2" borderId="111" xfId="0" applyFont="1" applyFill="1" applyBorder="1" applyAlignment="1">
      <alignment vertical="center"/>
    </xf>
    <xf numFmtId="0" fontId="29" fillId="2" borderId="111" xfId="0" applyFont="1" applyFill="1" applyBorder="1" applyAlignment="1">
      <alignment horizontal="right" vertical="center"/>
    </xf>
    <xf numFmtId="4" fontId="21" fillId="6" borderId="125" xfId="0" applyNumberFormat="1" applyFont="1" applyFill="1" applyBorder="1" applyAlignment="1" applyProtection="1">
      <alignment horizontal="right" vertical="center"/>
      <protection locked="0"/>
    </xf>
    <xf numFmtId="169" fontId="26" fillId="6" borderId="36" xfId="0" applyNumberFormat="1" applyFont="1" applyFill="1" applyBorder="1" applyAlignment="1">
      <alignment horizontal="center" vertical="center"/>
    </xf>
    <xf numFmtId="0" fontId="26" fillId="5" borderId="134" xfId="0" applyFont="1" applyFill="1" applyBorder="1" applyAlignment="1" applyProtection="1">
      <alignment horizontal="center" vertical="center" wrapText="1"/>
      <protection locked="0"/>
    </xf>
    <xf numFmtId="0" fontId="26" fillId="5" borderId="135" xfId="0" applyFont="1" applyFill="1" applyBorder="1" applyAlignment="1" applyProtection="1">
      <alignment horizontal="center" vertical="center" wrapText="1"/>
      <protection locked="0"/>
    </xf>
    <xf numFmtId="0" fontId="26" fillId="5" borderId="136" xfId="0" applyFont="1" applyFill="1" applyBorder="1" applyAlignment="1" applyProtection="1">
      <alignment horizontal="center" vertical="center" wrapText="1"/>
      <protection locked="0"/>
    </xf>
    <xf numFmtId="169" fontId="26" fillId="5" borderId="137" xfId="0" applyNumberFormat="1" applyFont="1" applyFill="1" applyBorder="1" applyAlignment="1" applyProtection="1">
      <alignment horizontal="center" vertical="center"/>
      <protection locked="0"/>
    </xf>
    <xf numFmtId="49" fontId="26" fillId="5" borderId="134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135" xfId="0" applyNumberFormat="1" applyFont="1" applyFill="1" applyBorder="1" applyAlignment="1" applyProtection="1">
      <alignment horizontal="center" vertical="center"/>
      <protection locked="0"/>
    </xf>
    <xf numFmtId="49" fontId="26" fillId="5" borderId="138" xfId="0" applyNumberFormat="1" applyFont="1" applyFill="1" applyBorder="1" applyAlignment="1" applyProtection="1">
      <alignment horizontal="center" vertical="center"/>
      <protection locked="0"/>
    </xf>
    <xf numFmtId="2" fontId="26" fillId="5" borderId="135" xfId="0" applyNumberFormat="1" applyFont="1" applyFill="1" applyBorder="1" applyAlignment="1" applyProtection="1">
      <alignment horizontal="center" vertical="center"/>
      <protection locked="0"/>
    </xf>
    <xf numFmtId="169" fontId="26" fillId="6" borderId="137" xfId="0" applyNumberFormat="1" applyFont="1" applyFill="1" applyBorder="1" applyAlignment="1">
      <alignment horizontal="center" vertical="center"/>
    </xf>
    <xf numFmtId="0" fontId="26" fillId="5" borderId="134" xfId="0" applyFont="1" applyFill="1" applyBorder="1" applyAlignment="1" applyProtection="1">
      <alignment horizontal="center" vertical="center"/>
      <protection locked="0"/>
    </xf>
    <xf numFmtId="0" fontId="26" fillId="5" borderId="135" xfId="0" applyFont="1" applyFill="1" applyBorder="1" applyAlignment="1" applyProtection="1">
      <alignment horizontal="center" vertical="center"/>
      <protection locked="0"/>
    </xf>
    <xf numFmtId="2" fontId="26" fillId="5" borderId="137" xfId="0" applyNumberFormat="1" applyFont="1" applyFill="1" applyBorder="1" applyAlignment="1" applyProtection="1">
      <alignment horizontal="center" vertical="center"/>
      <protection locked="0"/>
    </xf>
    <xf numFmtId="0" fontId="26" fillId="5" borderId="138" xfId="0" applyFont="1" applyFill="1" applyBorder="1" applyAlignment="1" applyProtection="1">
      <alignment horizontal="center" vertical="center"/>
      <protection locked="0"/>
    </xf>
    <xf numFmtId="166" fontId="26" fillId="5" borderId="134" xfId="0" applyNumberFormat="1" applyFont="1" applyFill="1" applyBorder="1" applyAlignment="1" applyProtection="1">
      <alignment horizontal="center" vertical="center"/>
      <protection locked="0"/>
    </xf>
    <xf numFmtId="0" fontId="26" fillId="5" borderId="63" xfId="0" applyFont="1" applyFill="1" applyBorder="1" applyAlignment="1" applyProtection="1">
      <alignment horizontal="center" vertical="center" wrapText="1"/>
      <protection locked="0"/>
    </xf>
    <xf numFmtId="0" fontId="26" fillId="5" borderId="35" xfId="0" applyFont="1" applyFill="1" applyBorder="1" applyAlignment="1" applyProtection="1">
      <alignment horizontal="center" vertical="center" wrapText="1"/>
      <protection locked="0"/>
    </xf>
    <xf numFmtId="0" fontId="26" fillId="5" borderId="33" xfId="0" applyFont="1" applyFill="1" applyBorder="1" applyAlignment="1" applyProtection="1">
      <alignment horizontal="center" vertical="center" wrapText="1"/>
      <protection locked="0"/>
    </xf>
    <xf numFmtId="49" fontId="26" fillId="5" borderId="63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33" xfId="0" applyNumberFormat="1" applyFont="1" applyFill="1" applyBorder="1" applyAlignment="1" applyProtection="1">
      <alignment horizontal="center" vertical="center"/>
      <protection locked="0"/>
    </xf>
    <xf numFmtId="2" fontId="26" fillId="5" borderId="36" xfId="0" applyNumberFormat="1" applyFont="1" applyFill="1" applyBorder="1" applyAlignment="1" applyProtection="1">
      <alignment horizontal="center" vertical="center"/>
      <protection locked="0"/>
    </xf>
    <xf numFmtId="49" fontId="26" fillId="5" borderId="44" xfId="0" applyNumberFormat="1" applyFont="1" applyFill="1" applyBorder="1" applyAlignment="1" applyProtection="1">
      <alignment horizontal="center" vertical="center"/>
      <protection locked="0"/>
    </xf>
    <xf numFmtId="2" fontId="26" fillId="5" borderId="33" xfId="0" applyNumberFormat="1" applyFont="1" applyFill="1" applyBorder="1" applyAlignment="1" applyProtection="1">
      <alignment horizontal="center" vertical="center"/>
      <protection locked="0"/>
    </xf>
    <xf numFmtId="166" fontId="26" fillId="5" borderId="35" xfId="0" applyNumberFormat="1" applyFont="1" applyFill="1" applyBorder="1" applyAlignment="1" applyProtection="1">
      <alignment horizontal="center" vertical="center"/>
      <protection locked="0"/>
    </xf>
    <xf numFmtId="0" fontId="26" fillId="5" borderId="63" xfId="0" applyFont="1" applyFill="1" applyBorder="1" applyAlignment="1" applyProtection="1">
      <alignment horizontal="center" vertical="center"/>
      <protection locked="0"/>
    </xf>
    <xf numFmtId="0" fontId="26" fillId="5" borderId="33" xfId="0" applyFont="1" applyFill="1" applyBorder="1" applyAlignment="1" applyProtection="1">
      <alignment horizontal="center" vertical="center"/>
      <protection locked="0"/>
    </xf>
    <xf numFmtId="0" fontId="26" fillId="5" borderId="44" xfId="0" applyFont="1" applyFill="1" applyBorder="1" applyAlignment="1" applyProtection="1">
      <alignment horizontal="center" vertical="center"/>
      <protection locked="0"/>
    </xf>
    <xf numFmtId="166" fontId="26" fillId="5" borderId="63" xfId="0" applyNumberFormat="1" applyFont="1" applyFill="1" applyBorder="1" applyAlignment="1" applyProtection="1">
      <alignment horizontal="center" vertical="center"/>
      <protection locked="0"/>
    </xf>
    <xf numFmtId="2" fontId="21" fillId="5" borderId="139" xfId="0" applyNumberFormat="1" applyFont="1" applyFill="1" applyBorder="1" applyAlignment="1" applyProtection="1">
      <alignment horizontal="right" vertical="center"/>
      <protection locked="0"/>
    </xf>
    <xf numFmtId="0" fontId="21" fillId="2" borderId="31" xfId="0" applyFont="1" applyFill="1" applyBorder="1"/>
    <xf numFmtId="2" fontId="21" fillId="5" borderId="140" xfId="0" applyNumberFormat="1" applyFont="1" applyFill="1" applyBorder="1" applyAlignment="1" applyProtection="1">
      <alignment horizontal="right" vertical="center"/>
      <protection locked="0"/>
    </xf>
    <xf numFmtId="0" fontId="26" fillId="2" borderId="8" xfId="0" applyFont="1" applyFill="1" applyBorder="1" applyAlignment="1">
      <alignment horizontal="left"/>
    </xf>
    <xf numFmtId="0" fontId="11" fillId="2" borderId="0" xfId="5" applyFill="1" applyBorder="1" applyAlignment="1" applyProtection="1">
      <alignment horizontal="left"/>
    </xf>
    <xf numFmtId="0" fontId="51" fillId="0" borderId="0" xfId="0" applyFont="1"/>
    <xf numFmtId="0" fontId="52" fillId="0" borderId="0" xfId="0" applyFont="1"/>
    <xf numFmtId="0" fontId="53" fillId="0" borderId="0" xfId="0" applyFont="1" applyAlignment="1">
      <alignment vertical="center" wrapText="1"/>
    </xf>
    <xf numFmtId="0" fontId="11" fillId="0" borderId="0" xfId="5" applyAlignment="1" applyProtection="1"/>
    <xf numFmtId="0" fontId="28" fillId="2" borderId="7" xfId="0" applyFont="1" applyFill="1" applyBorder="1" applyAlignment="1">
      <alignment horizontal="center" textRotation="90" wrapText="1"/>
    </xf>
    <xf numFmtId="0" fontId="6" fillId="2" borderId="3" xfId="0" applyFont="1" applyFill="1" applyBorder="1" applyAlignment="1">
      <alignment horizontal="center" textRotation="90" wrapText="1"/>
    </xf>
    <xf numFmtId="0" fontId="21" fillId="0" borderId="7" xfId="0" applyFont="1" applyBorder="1"/>
    <xf numFmtId="0" fontId="21" fillId="0" borderId="3" xfId="0" applyFont="1" applyBorder="1"/>
    <xf numFmtId="2" fontId="28" fillId="0" borderId="36" xfId="0" applyNumberFormat="1" applyFont="1" applyBorder="1" applyAlignment="1">
      <alignment horizontal="center" textRotation="90" wrapText="1"/>
    </xf>
    <xf numFmtId="0" fontId="28" fillId="0" borderId="35" xfId="0" applyFont="1" applyBorder="1" applyAlignment="1">
      <alignment horizontal="center" textRotation="90" wrapText="1"/>
    </xf>
    <xf numFmtId="0" fontId="28" fillId="0" borderId="31" xfId="0" applyFont="1" applyBorder="1" applyAlignment="1">
      <alignment horizontal="center" textRotation="90" wrapText="1"/>
    </xf>
    <xf numFmtId="2" fontId="28" fillId="2" borderId="35" xfId="0" applyNumberFormat="1" applyFont="1" applyFill="1" applyBorder="1" applyAlignment="1">
      <alignment horizontal="center" textRotation="90" wrapText="1"/>
    </xf>
    <xf numFmtId="0" fontId="28" fillId="2" borderId="70" xfId="0" applyFont="1" applyFill="1" applyBorder="1" applyAlignment="1">
      <alignment horizontal="center" textRotation="90" wrapText="1"/>
    </xf>
    <xf numFmtId="0" fontId="28" fillId="2" borderId="71" xfId="0" applyFont="1" applyFill="1" applyBorder="1" applyAlignment="1">
      <alignment horizontal="center" textRotation="90" wrapText="1"/>
    </xf>
    <xf numFmtId="0" fontId="28" fillId="2" borderId="72" xfId="0" applyFont="1" applyFill="1" applyBorder="1" applyAlignment="1">
      <alignment horizontal="center" textRotation="90" wrapText="1"/>
    </xf>
    <xf numFmtId="0" fontId="28" fillId="2" borderId="46" xfId="0" applyFont="1" applyFill="1" applyBorder="1" applyAlignment="1">
      <alignment horizontal="center" textRotation="90" wrapText="1"/>
    </xf>
    <xf numFmtId="0" fontId="28" fillId="2" borderId="5" xfId="0" applyFont="1" applyFill="1" applyBorder="1" applyAlignment="1">
      <alignment horizontal="center" textRotation="90" wrapText="1"/>
    </xf>
    <xf numFmtId="0" fontId="31" fillId="0" borderId="0" xfId="0" applyFont="1"/>
    <xf numFmtId="0" fontId="31" fillId="2" borderId="0" xfId="0" applyFont="1" applyFill="1" applyAlignment="1">
      <alignment horizontal="center"/>
    </xf>
    <xf numFmtId="0" fontId="0" fillId="0" borderId="0" xfId="0" applyProtection="1">
      <protection locked="0"/>
    </xf>
    <xf numFmtId="164" fontId="29" fillId="5" borderId="25" xfId="0" applyNumberFormat="1" applyFont="1" applyFill="1" applyBorder="1" applyAlignment="1" applyProtection="1">
      <alignment horizontal="center" vertical="center"/>
      <protection locked="0"/>
    </xf>
    <xf numFmtId="166" fontId="31" fillId="6" borderId="88" xfId="8" applyNumberFormat="1" applyFont="1" applyFill="1" applyBorder="1" applyAlignment="1" applyProtection="1">
      <alignment horizontal="right" vertical="center"/>
    </xf>
    <xf numFmtId="166" fontId="26" fillId="14" borderId="94" xfId="0" applyNumberFormat="1" applyFont="1" applyFill="1" applyBorder="1" applyAlignment="1" applyProtection="1">
      <alignment horizontal="center" vertical="center"/>
      <protection locked="0"/>
    </xf>
    <xf numFmtId="2" fontId="26" fillId="14" borderId="98" xfId="0" applyNumberFormat="1" applyFont="1" applyFill="1" applyBorder="1" applyAlignment="1" applyProtection="1">
      <alignment horizontal="center" vertical="center"/>
      <protection locked="0"/>
    </xf>
    <xf numFmtId="10" fontId="26" fillId="14" borderId="98" xfId="8" applyNumberFormat="1" applyFont="1" applyFill="1" applyBorder="1" applyAlignment="1" applyProtection="1">
      <alignment horizontal="center" vertical="center"/>
      <protection locked="0"/>
    </xf>
    <xf numFmtId="0" fontId="55" fillId="5" borderId="96" xfId="0" applyFont="1" applyFill="1" applyBorder="1" applyAlignment="1" applyProtection="1">
      <alignment horizontal="center" vertical="center" wrapText="1"/>
      <protection locked="0"/>
    </xf>
    <xf numFmtId="44" fontId="21" fillId="0" borderId="0" xfId="29" applyFont="1" applyProtection="1"/>
    <xf numFmtId="0" fontId="21" fillId="0" borderId="141" xfId="0" pivotButton="1" applyFont="1" applyBorder="1"/>
    <xf numFmtId="0" fontId="21" fillId="0" borderId="142" xfId="0" applyFont="1" applyBorder="1"/>
    <xf numFmtId="0" fontId="21" fillId="0" borderId="143" xfId="0" applyFont="1" applyBorder="1"/>
    <xf numFmtId="2" fontId="21" fillId="0" borderId="144" xfId="0" applyNumberFormat="1" applyFont="1" applyBorder="1"/>
    <xf numFmtId="0" fontId="21" fillId="0" borderId="145" xfId="0" applyFont="1" applyBorder="1"/>
    <xf numFmtId="0" fontId="31" fillId="0" borderId="23" xfId="0" applyFont="1" applyBorder="1" applyAlignment="1">
      <alignment horizontal="center"/>
    </xf>
    <xf numFmtId="2" fontId="21" fillId="0" borderId="23" xfId="0" applyNumberFormat="1" applyFont="1" applyBorder="1" applyAlignment="1">
      <alignment horizontal="center"/>
    </xf>
    <xf numFmtId="0" fontId="21" fillId="0" borderId="23" xfId="0" applyFont="1" applyBorder="1" applyAlignment="1">
      <alignment horizontal="center"/>
    </xf>
    <xf numFmtId="0" fontId="21" fillId="0" borderId="23" xfId="0" applyFont="1" applyBorder="1"/>
    <xf numFmtId="44" fontId="21" fillId="0" borderId="23" xfId="29" applyFont="1" applyBorder="1" applyAlignment="1">
      <alignment horizontal="center"/>
    </xf>
    <xf numFmtId="44" fontId="21" fillId="0" borderId="23" xfId="29" applyFont="1" applyBorder="1"/>
    <xf numFmtId="9" fontId="31" fillId="0" borderId="23" xfId="8" applyFont="1" applyBorder="1" applyAlignment="1">
      <alignment horizontal="center"/>
    </xf>
    <xf numFmtId="44" fontId="38" fillId="0" borderId="23" xfId="29" applyFont="1" applyBorder="1"/>
    <xf numFmtId="44" fontId="21" fillId="0" borderId="23" xfId="0" applyNumberFormat="1" applyFont="1" applyBorder="1"/>
    <xf numFmtId="0" fontId="55" fillId="5" borderId="97" xfId="0" applyFont="1" applyFill="1" applyBorder="1" applyAlignment="1" applyProtection="1">
      <alignment horizontal="center" vertical="center" wrapText="1"/>
      <protection locked="0"/>
    </xf>
    <xf numFmtId="2" fontId="55" fillId="5" borderId="96" xfId="0" applyNumberFormat="1" applyFont="1" applyFill="1" applyBorder="1" applyAlignment="1" applyProtection="1">
      <alignment horizontal="center" vertical="center"/>
      <protection locked="0"/>
    </xf>
    <xf numFmtId="166" fontId="55" fillId="5" borderId="73" xfId="0" applyNumberFormat="1" applyFont="1" applyFill="1" applyBorder="1" applyAlignment="1" applyProtection="1">
      <alignment horizontal="center" vertical="center"/>
      <protection locked="0"/>
    </xf>
    <xf numFmtId="49" fontId="55" fillId="5" borderId="96" xfId="0" applyNumberFormat="1" applyFont="1" applyFill="1" applyBorder="1" applyAlignment="1" applyProtection="1">
      <alignment horizontal="center" vertical="center" wrapText="1"/>
      <protection locked="0"/>
    </xf>
    <xf numFmtId="49" fontId="55" fillId="5" borderId="73" xfId="0" applyNumberFormat="1" applyFont="1" applyFill="1" applyBorder="1" applyAlignment="1" applyProtection="1">
      <alignment horizontal="center" vertical="center"/>
      <protection locked="0"/>
    </xf>
    <xf numFmtId="2" fontId="55" fillId="6" borderId="75" xfId="0" applyNumberFormat="1" applyFont="1" applyFill="1" applyBorder="1" applyAlignment="1">
      <alignment horizontal="center" vertical="center"/>
    </xf>
    <xf numFmtId="44" fontId="21" fillId="0" borderId="0" xfId="0" applyNumberFormat="1" applyFont="1"/>
    <xf numFmtId="0" fontId="55" fillId="5" borderId="73" xfId="0" applyFont="1" applyFill="1" applyBorder="1" applyAlignment="1" applyProtection="1">
      <alignment horizontal="center" vertical="center" wrapText="1"/>
      <protection locked="0"/>
    </xf>
    <xf numFmtId="1" fontId="55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55" fillId="5" borderId="98" xfId="0" applyNumberFormat="1" applyFont="1" applyFill="1" applyBorder="1" applyAlignment="1" applyProtection="1">
      <alignment horizontal="center" vertical="center"/>
      <protection locked="0"/>
    </xf>
    <xf numFmtId="10" fontId="55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55" fillId="5" borderId="96" xfId="0" applyNumberFormat="1" applyFont="1" applyFill="1" applyBorder="1" applyAlignment="1" applyProtection="1">
      <alignment horizontal="center" vertical="center" wrapText="1"/>
      <protection locked="0"/>
    </xf>
    <xf numFmtId="2" fontId="55" fillId="6" borderId="97" xfId="0" applyNumberFormat="1" applyFont="1" applyFill="1" applyBorder="1" applyAlignment="1">
      <alignment horizontal="center" vertical="center"/>
    </xf>
    <xf numFmtId="2" fontId="55" fillId="5" borderId="97" xfId="0" applyNumberFormat="1" applyFont="1" applyFill="1" applyBorder="1" applyAlignment="1" applyProtection="1">
      <alignment horizontal="center" vertical="center" wrapText="1"/>
      <protection locked="0"/>
    </xf>
    <xf numFmtId="0" fontId="55" fillId="5" borderId="97" xfId="0" applyFont="1" applyFill="1" applyBorder="1" applyAlignment="1" applyProtection="1">
      <alignment horizontal="center" vertical="center"/>
      <protection locked="0"/>
    </xf>
    <xf numFmtId="166" fontId="29" fillId="2" borderId="31" xfId="8" applyNumberFormat="1" applyFont="1" applyFill="1" applyBorder="1" applyAlignment="1">
      <alignment vertical="center"/>
    </xf>
    <xf numFmtId="0" fontId="31" fillId="15" borderId="23" xfId="0" applyFont="1" applyFill="1" applyBorder="1" applyAlignment="1">
      <alignment horizontal="center"/>
    </xf>
    <xf numFmtId="0" fontId="4" fillId="5" borderId="96" xfId="0" applyFont="1" applyFill="1" applyBorder="1" applyAlignment="1" applyProtection="1">
      <alignment horizontal="center" vertical="center" wrapText="1"/>
      <protection locked="0"/>
    </xf>
    <xf numFmtId="166" fontId="57" fillId="5" borderId="73" xfId="0" applyNumberFormat="1" applyFont="1" applyFill="1" applyBorder="1" applyAlignment="1" applyProtection="1">
      <alignment horizontal="center" vertical="center"/>
      <protection locked="0"/>
    </xf>
    <xf numFmtId="169" fontId="26" fillId="5" borderId="97" xfId="0" applyNumberFormat="1" applyFont="1" applyFill="1" applyBorder="1" applyAlignment="1" applyProtection="1">
      <alignment horizontal="center" vertical="center"/>
      <protection locked="0"/>
    </xf>
    <xf numFmtId="165" fontId="26" fillId="5" borderId="73" xfId="0" applyNumberFormat="1" applyFont="1" applyFill="1" applyBorder="1" applyAlignment="1" applyProtection="1">
      <alignment horizontal="center" vertical="center"/>
      <protection locked="0"/>
    </xf>
    <xf numFmtId="169" fontId="56" fillId="5" borderId="137" xfId="0" applyNumberFormat="1" applyFont="1" applyFill="1" applyBorder="1" applyAlignment="1" applyProtection="1">
      <alignment horizontal="center" vertical="center"/>
      <protection locked="0"/>
    </xf>
    <xf numFmtId="2" fontId="26" fillId="5" borderId="138" xfId="0" applyNumberFormat="1" applyFont="1" applyFill="1" applyBorder="1" applyAlignment="1" applyProtection="1">
      <alignment horizontal="center" vertical="center"/>
      <protection locked="0"/>
    </xf>
    <xf numFmtId="10" fontId="26" fillId="5" borderId="138" xfId="8" applyNumberFormat="1" applyFont="1" applyFill="1" applyBorder="1" applyAlignment="1" applyProtection="1">
      <alignment horizontal="center" vertical="center" wrapText="1"/>
      <protection locked="0"/>
    </xf>
    <xf numFmtId="2" fontId="26" fillId="5" borderId="135" xfId="0" applyNumberFormat="1" applyFont="1" applyFill="1" applyBorder="1" applyAlignment="1" applyProtection="1">
      <alignment horizontal="center" vertical="center" wrapText="1"/>
      <protection locked="0"/>
    </xf>
    <xf numFmtId="2" fontId="26" fillId="6" borderId="136" xfId="0" applyNumberFormat="1" applyFont="1" applyFill="1" applyBorder="1" applyAlignment="1">
      <alignment horizontal="center" vertical="center"/>
    </xf>
    <xf numFmtId="2" fontId="26" fillId="5" borderId="136" xfId="0" applyNumberFormat="1" applyFont="1" applyFill="1" applyBorder="1" applyAlignment="1" applyProtection="1">
      <alignment horizontal="center" vertical="center" wrapText="1"/>
      <protection locked="0"/>
    </xf>
    <xf numFmtId="2" fontId="26" fillId="6" borderId="137" xfId="0" applyNumberFormat="1" applyFont="1" applyFill="1" applyBorder="1" applyAlignment="1">
      <alignment horizontal="center" vertical="center"/>
    </xf>
    <xf numFmtId="0" fontId="26" fillId="5" borderId="136" xfId="0" applyFont="1" applyFill="1" applyBorder="1" applyAlignment="1" applyProtection="1">
      <alignment horizontal="center" vertical="center"/>
      <protection locked="0"/>
    </xf>
    <xf numFmtId="0" fontId="26" fillId="16" borderId="96" xfId="0" applyFont="1" applyFill="1" applyBorder="1" applyAlignment="1" applyProtection="1">
      <alignment horizontal="center" vertical="center" wrapText="1"/>
      <protection locked="0"/>
    </xf>
    <xf numFmtId="9" fontId="26" fillId="5" borderId="96" xfId="8" applyFont="1" applyFill="1" applyBorder="1" applyAlignment="1" applyProtection="1">
      <alignment horizontal="center" vertical="center" wrapText="1"/>
      <protection locked="0"/>
    </xf>
    <xf numFmtId="2" fontId="26" fillId="16" borderId="96" xfId="0" applyNumberFormat="1" applyFont="1" applyFill="1" applyBorder="1" applyAlignment="1" applyProtection="1">
      <alignment horizontal="center" vertical="center" wrapText="1"/>
      <protection locked="0"/>
    </xf>
    <xf numFmtId="49" fontId="26" fillId="5" borderId="134" xfId="0" applyNumberFormat="1" applyFont="1" applyFill="1" applyBorder="1" applyAlignment="1" applyProtection="1">
      <alignment horizontal="center" vertical="center"/>
      <protection locked="0"/>
    </xf>
    <xf numFmtId="2" fontId="31" fillId="15" borderId="64" xfId="0" quotePrefix="1" applyNumberFormat="1" applyFont="1" applyFill="1" applyBorder="1"/>
    <xf numFmtId="166" fontId="21" fillId="0" borderId="0" xfId="8" applyNumberFormat="1" applyFont="1"/>
    <xf numFmtId="0" fontId="31" fillId="15" borderId="23" xfId="0" applyFont="1" applyFill="1" applyBorder="1" applyAlignment="1">
      <alignment horizontal="center"/>
    </xf>
    <xf numFmtId="0" fontId="31" fillId="15" borderId="21" xfId="0" applyFont="1" applyFill="1" applyBorder="1" applyAlignment="1">
      <alignment horizontal="center"/>
    </xf>
    <xf numFmtId="0" fontId="31" fillId="15" borderId="16" xfId="0" applyFont="1" applyFill="1" applyBorder="1" applyAlignment="1">
      <alignment horizontal="center"/>
    </xf>
    <xf numFmtId="0" fontId="31" fillId="15" borderId="22" xfId="0" applyFont="1" applyFill="1" applyBorder="1" applyAlignment="1">
      <alignment horizontal="center"/>
    </xf>
    <xf numFmtId="0" fontId="29" fillId="5" borderId="24" xfId="0" applyFont="1" applyFill="1" applyBorder="1" applyAlignment="1" applyProtection="1">
      <alignment horizontal="center" vertical="center"/>
      <protection locked="0"/>
    </xf>
    <xf numFmtId="0" fontId="29" fillId="5" borderId="131" xfId="0" applyFont="1" applyFill="1" applyBorder="1" applyAlignment="1" applyProtection="1">
      <alignment horizontal="center" vertical="center"/>
      <protection locked="0"/>
    </xf>
    <xf numFmtId="0" fontId="29" fillId="5" borderId="1" xfId="0" applyFont="1" applyFill="1" applyBorder="1" applyAlignment="1" applyProtection="1">
      <alignment horizontal="left" vertical="top" wrapText="1"/>
      <protection locked="0"/>
    </xf>
    <xf numFmtId="0" fontId="29" fillId="5" borderId="1" xfId="0" applyFont="1" applyFill="1" applyBorder="1" applyAlignment="1" applyProtection="1">
      <alignment horizontal="left" vertical="top"/>
      <protection locked="0"/>
    </xf>
    <xf numFmtId="0" fontId="29" fillId="5" borderId="2" xfId="0" applyFont="1" applyFill="1" applyBorder="1" applyAlignment="1" applyProtection="1">
      <alignment horizontal="left" vertical="top"/>
      <protection locked="0"/>
    </xf>
    <xf numFmtId="0" fontId="29" fillId="5" borderId="0" xfId="0" applyFont="1" applyFill="1" applyAlignment="1" applyProtection="1">
      <alignment horizontal="left" vertical="top"/>
      <protection locked="0"/>
    </xf>
    <xf numFmtId="0" fontId="29" fillId="5" borderId="3" xfId="0" applyFont="1" applyFill="1" applyBorder="1" applyAlignment="1" applyProtection="1">
      <alignment horizontal="left" vertical="top"/>
      <protection locked="0"/>
    </xf>
    <xf numFmtId="0" fontId="29" fillId="5" borderId="4" xfId="0" applyFont="1" applyFill="1" applyBorder="1" applyAlignment="1" applyProtection="1">
      <alignment horizontal="left" vertical="top"/>
      <protection locked="0"/>
    </xf>
    <xf numFmtId="0" fontId="29" fillId="5" borderId="5" xfId="0" applyFont="1" applyFill="1" applyBorder="1" applyAlignment="1" applyProtection="1">
      <alignment horizontal="left" vertical="top"/>
      <protection locked="0"/>
    </xf>
    <xf numFmtId="0" fontId="29" fillId="5" borderId="25" xfId="0" applyFont="1" applyFill="1" applyBorder="1" applyAlignment="1" applyProtection="1">
      <alignment horizontal="left" vertical="center"/>
      <protection locked="0"/>
    </xf>
    <xf numFmtId="0" fontId="29" fillId="5" borderId="122" xfId="0" applyFont="1" applyFill="1" applyBorder="1" applyAlignment="1" applyProtection="1">
      <alignment horizontal="left" vertical="center"/>
      <protection locked="0"/>
    </xf>
    <xf numFmtId="49" fontId="29" fillId="0" borderId="6" xfId="0" applyNumberFormat="1" applyFont="1" applyBorder="1" applyAlignment="1" applyProtection="1">
      <alignment horizontal="left" vertical="top" wrapText="1"/>
      <protection locked="0"/>
    </xf>
    <xf numFmtId="49" fontId="29" fillId="0" borderId="1" xfId="0" applyNumberFormat="1" applyFont="1" applyBorder="1" applyAlignment="1" applyProtection="1">
      <alignment horizontal="left" vertical="top" wrapText="1"/>
      <protection locked="0"/>
    </xf>
    <xf numFmtId="49" fontId="29" fillId="0" borderId="2" xfId="0" applyNumberFormat="1" applyFont="1" applyBorder="1" applyAlignment="1" applyProtection="1">
      <alignment horizontal="left" vertical="top" wrapText="1"/>
      <protection locked="0"/>
    </xf>
    <xf numFmtId="49" fontId="29" fillId="0" borderId="51" xfId="0" applyNumberFormat="1" applyFont="1" applyBorder="1" applyAlignment="1" applyProtection="1">
      <alignment horizontal="left" vertical="top" wrapText="1"/>
      <protection locked="0"/>
    </xf>
    <xf numFmtId="49" fontId="29" fillId="0" borderId="43" xfId="0" applyNumberFormat="1" applyFont="1" applyBorder="1" applyAlignment="1" applyProtection="1">
      <alignment horizontal="left" vertical="top" wrapText="1"/>
      <protection locked="0"/>
    </xf>
    <xf numFmtId="49" fontId="29" fillId="0" borderId="128" xfId="0" applyNumberFormat="1" applyFont="1" applyBorder="1" applyAlignment="1" applyProtection="1">
      <alignment horizontal="left" vertical="top" wrapText="1"/>
      <protection locked="0"/>
    </xf>
    <xf numFmtId="0" fontId="29" fillId="5" borderId="25" xfId="0" applyFont="1" applyFill="1" applyBorder="1" applyAlignment="1" applyProtection="1">
      <alignment horizontal="center" vertical="center"/>
      <protection locked="0"/>
    </xf>
    <xf numFmtId="0" fontId="29" fillId="5" borderId="48" xfId="0" applyFont="1" applyFill="1" applyBorder="1" applyAlignment="1" applyProtection="1">
      <alignment horizontal="center" vertical="center"/>
      <protection locked="0"/>
    </xf>
    <xf numFmtId="0" fontId="29" fillId="5" borderId="31" xfId="0" applyFont="1" applyFill="1" applyBorder="1" applyAlignment="1" applyProtection="1">
      <alignment horizontal="center" vertical="center"/>
      <protection locked="0"/>
    </xf>
    <xf numFmtId="0" fontId="29" fillId="5" borderId="26" xfId="0" applyFont="1" applyFill="1" applyBorder="1" applyAlignment="1" applyProtection="1">
      <alignment horizontal="left" vertical="center"/>
      <protection locked="0"/>
    </xf>
    <xf numFmtId="0" fontId="29" fillId="5" borderId="125" xfId="0" applyFont="1" applyFill="1" applyBorder="1" applyAlignment="1" applyProtection="1">
      <alignment horizontal="left" vertical="center"/>
      <protection locked="0"/>
    </xf>
    <xf numFmtId="0" fontId="26" fillId="2" borderId="126" xfId="0" applyFont="1" applyFill="1" applyBorder="1" applyAlignment="1">
      <alignment horizontal="center" vertical="center" wrapText="1"/>
    </xf>
    <xf numFmtId="0" fontId="26" fillId="2" borderId="127" xfId="0" applyFont="1" applyFill="1" applyBorder="1" applyAlignment="1">
      <alignment horizontal="center" vertical="center" wrapText="1"/>
    </xf>
    <xf numFmtId="0" fontId="26" fillId="2" borderId="102" xfId="0" applyFont="1" applyFill="1" applyBorder="1" applyAlignment="1">
      <alignment horizontal="center" vertical="center" wrapText="1"/>
    </xf>
    <xf numFmtId="0" fontId="29" fillId="5" borderId="132" xfId="0" applyFont="1" applyFill="1" applyBorder="1" applyAlignment="1" applyProtection="1">
      <alignment horizontal="center" vertical="center"/>
      <protection locked="0"/>
    </xf>
    <xf numFmtId="0" fontId="29" fillId="5" borderId="58" xfId="0" applyFont="1" applyFill="1" applyBorder="1" applyAlignment="1" applyProtection="1">
      <alignment horizontal="center" vertical="center"/>
      <protection locked="0"/>
    </xf>
    <xf numFmtId="0" fontId="29" fillId="5" borderId="133" xfId="0" applyFont="1" applyFill="1" applyBorder="1" applyAlignment="1" applyProtection="1">
      <alignment horizontal="center" vertical="center"/>
      <protection locked="0"/>
    </xf>
    <xf numFmtId="3" fontId="29" fillId="5" borderId="25" xfId="0" applyNumberFormat="1" applyFont="1" applyFill="1" applyBorder="1" applyAlignment="1" applyProtection="1">
      <alignment horizontal="center" vertical="center"/>
      <protection locked="0"/>
    </xf>
    <xf numFmtId="3" fontId="29" fillId="5" borderId="122" xfId="0" applyNumberFormat="1" applyFont="1" applyFill="1" applyBorder="1" applyAlignment="1" applyProtection="1">
      <alignment horizontal="center" vertical="center"/>
      <protection locked="0"/>
    </xf>
    <xf numFmtId="167" fontId="29" fillId="5" borderId="26" xfId="0" applyNumberFormat="1" applyFont="1" applyFill="1" applyBorder="1" applyAlignment="1" applyProtection="1">
      <alignment horizontal="center" vertical="center"/>
      <protection locked="0"/>
    </xf>
    <xf numFmtId="167" fontId="29" fillId="5" borderId="125" xfId="0" applyNumberFormat="1" applyFont="1" applyFill="1" applyBorder="1" applyAlignment="1" applyProtection="1">
      <alignment horizontal="center" vertical="center"/>
      <protection locked="0"/>
    </xf>
    <xf numFmtId="0" fontId="29" fillId="5" borderId="122" xfId="0" applyFont="1" applyFill="1" applyBorder="1" applyAlignment="1" applyProtection="1">
      <alignment horizontal="center" vertical="center"/>
      <protection locked="0"/>
    </xf>
    <xf numFmtId="49" fontId="29" fillId="0" borderId="27" xfId="0" applyNumberFormat="1" applyFont="1" applyBorder="1" applyAlignment="1" applyProtection="1">
      <alignment horizontal="center" vertical="top" wrapText="1"/>
      <protection locked="0"/>
    </xf>
    <xf numFmtId="49" fontId="29" fillId="0" borderId="24" xfId="0" applyNumberFormat="1" applyFont="1" applyBorder="1" applyAlignment="1" applyProtection="1">
      <alignment horizontal="center" vertical="top" wrapText="1"/>
      <protection locked="0"/>
    </xf>
    <xf numFmtId="49" fontId="29" fillId="0" borderId="42" xfId="0" applyNumberFormat="1" applyFont="1" applyBorder="1" applyAlignment="1" applyProtection="1">
      <alignment horizontal="center" vertical="top" wrapText="1"/>
      <protection locked="0"/>
    </xf>
    <xf numFmtId="0" fontId="35" fillId="5" borderId="24" xfId="0" applyFont="1" applyFill="1" applyBorder="1" applyAlignment="1" applyProtection="1">
      <alignment horizontal="left" vertical="center"/>
      <protection locked="0"/>
    </xf>
    <xf numFmtId="0" fontId="35" fillId="5" borderId="42" xfId="0" applyFont="1" applyFill="1" applyBorder="1" applyAlignment="1" applyProtection="1">
      <alignment horizontal="left" vertical="center"/>
      <protection locked="0"/>
    </xf>
    <xf numFmtId="0" fontId="11" fillId="5" borderId="25" xfId="5" applyNumberFormat="1" applyFill="1" applyBorder="1" applyAlignment="1" applyProtection="1">
      <alignment horizontal="left" vertical="center"/>
      <protection locked="0"/>
    </xf>
    <xf numFmtId="0" fontId="35" fillId="5" borderId="25" xfId="0" applyFont="1" applyFill="1" applyBorder="1" applyAlignment="1" applyProtection="1">
      <alignment horizontal="left" vertical="center"/>
      <protection locked="0"/>
    </xf>
    <xf numFmtId="0" fontId="35" fillId="5" borderId="122" xfId="0" applyFont="1" applyFill="1" applyBorder="1" applyAlignment="1" applyProtection="1">
      <alignment horizontal="left" vertical="center"/>
      <protection locked="0"/>
    </xf>
    <xf numFmtId="14" fontId="52" fillId="5" borderId="26" xfId="0" applyNumberFormat="1" applyFont="1" applyFill="1" applyBorder="1" applyAlignment="1" applyProtection="1">
      <alignment horizontal="left" vertical="center"/>
      <protection locked="0"/>
    </xf>
    <xf numFmtId="14" fontId="52" fillId="5" borderId="125" xfId="0" applyNumberFormat="1" applyFont="1" applyFill="1" applyBorder="1" applyAlignment="1" applyProtection="1">
      <alignment horizontal="left" vertical="center"/>
      <protection locked="0"/>
    </xf>
    <xf numFmtId="0" fontId="35" fillId="5" borderId="25" xfId="0" quotePrefix="1" applyFont="1" applyFill="1" applyBorder="1" applyAlignment="1" applyProtection="1">
      <alignment horizontal="left" vertical="center"/>
      <protection locked="0"/>
    </xf>
    <xf numFmtId="0" fontId="29" fillId="2" borderId="0" xfId="0" applyFont="1" applyFill="1" applyAlignment="1">
      <alignment horizontal="center"/>
    </xf>
    <xf numFmtId="49" fontId="35" fillId="5" borderId="25" xfId="0" applyNumberFormat="1" applyFont="1" applyFill="1" applyBorder="1" applyAlignment="1" applyProtection="1">
      <alignment horizontal="left" vertical="center"/>
      <protection locked="0"/>
    </xf>
    <xf numFmtId="49" fontId="35" fillId="5" borderId="122" xfId="0" applyNumberFormat="1" applyFont="1" applyFill="1" applyBorder="1" applyAlignment="1" applyProtection="1">
      <alignment horizontal="left" vertical="center"/>
      <protection locked="0"/>
    </xf>
    <xf numFmtId="49" fontId="35" fillId="5" borderId="26" xfId="0" applyNumberFormat="1" applyFont="1" applyFill="1" applyBorder="1" applyAlignment="1" applyProtection="1">
      <alignment horizontal="left" vertical="center"/>
      <protection locked="0"/>
    </xf>
    <xf numFmtId="49" fontId="35" fillId="5" borderId="125" xfId="0" applyNumberFormat="1" applyFont="1" applyFill="1" applyBorder="1" applyAlignment="1" applyProtection="1">
      <alignment horizontal="left" vertical="center"/>
      <protection locked="0"/>
    </xf>
    <xf numFmtId="0" fontId="35" fillId="5" borderId="26" xfId="0" applyFont="1" applyFill="1" applyBorder="1" applyAlignment="1" applyProtection="1">
      <alignment horizontal="left" vertical="center"/>
      <protection locked="0"/>
    </xf>
    <xf numFmtId="0" fontId="26" fillId="2" borderId="8" xfId="0" applyFont="1" applyFill="1" applyBorder="1" applyAlignment="1">
      <alignment horizontal="left"/>
    </xf>
    <xf numFmtId="0" fontId="21" fillId="0" borderId="4" xfId="0" applyFont="1" applyBorder="1"/>
    <xf numFmtId="0" fontId="35" fillId="6" borderId="24" xfId="0" applyFont="1" applyFill="1" applyBorder="1" applyAlignment="1">
      <alignment horizontal="left" vertical="center"/>
    </xf>
    <xf numFmtId="0" fontId="21" fillId="6" borderId="24" xfId="0" applyFont="1" applyFill="1" applyBorder="1" applyAlignment="1">
      <alignment horizontal="left" vertical="center"/>
    </xf>
    <xf numFmtId="0" fontId="21" fillId="6" borderId="42" xfId="0" applyFont="1" applyFill="1" applyBorder="1" applyAlignment="1">
      <alignment horizontal="left" vertical="center"/>
    </xf>
    <xf numFmtId="0" fontId="32" fillId="6" borderId="25" xfId="5" applyNumberFormat="1" applyFont="1" applyFill="1" applyBorder="1" applyAlignment="1" applyProtection="1">
      <alignment horizontal="left" vertical="center"/>
    </xf>
    <xf numFmtId="0" fontId="39" fillId="6" borderId="25" xfId="0" applyFont="1" applyFill="1" applyBorder="1" applyAlignment="1">
      <alignment horizontal="left" vertical="center"/>
    </xf>
    <xf numFmtId="0" fontId="39" fillId="6" borderId="122" xfId="0" applyFont="1" applyFill="1" applyBorder="1" applyAlignment="1">
      <alignment horizontal="left" vertical="center"/>
    </xf>
    <xf numFmtId="0" fontId="35" fillId="6" borderId="25" xfId="0" applyFont="1" applyFill="1" applyBorder="1" applyAlignment="1">
      <alignment horizontal="left" vertical="center"/>
    </xf>
    <xf numFmtId="0" fontId="21" fillId="6" borderId="25" xfId="0" applyFont="1" applyFill="1" applyBorder="1" applyAlignment="1">
      <alignment horizontal="left" vertical="center"/>
    </xf>
    <xf numFmtId="0" fontId="21" fillId="6" borderId="122" xfId="0" applyFont="1" applyFill="1" applyBorder="1" applyAlignment="1">
      <alignment horizontal="left" vertical="center"/>
    </xf>
    <xf numFmtId="14" fontId="35" fillId="6" borderId="26" xfId="0" applyNumberFormat="1" applyFont="1" applyFill="1" applyBorder="1" applyAlignment="1">
      <alignment horizontal="left" vertical="center"/>
    </xf>
    <xf numFmtId="0" fontId="21" fillId="6" borderId="26" xfId="0" applyFont="1" applyFill="1" applyBorder="1" applyAlignment="1">
      <alignment horizontal="left" vertical="center"/>
    </xf>
    <xf numFmtId="0" fontId="21" fillId="6" borderId="125" xfId="0" applyFont="1" applyFill="1" applyBorder="1" applyAlignment="1">
      <alignment horizontal="left" vertical="center"/>
    </xf>
    <xf numFmtId="0" fontId="50" fillId="0" borderId="8" xfId="0" applyFont="1" applyBorder="1" applyAlignment="1">
      <alignment horizontal="left"/>
    </xf>
    <xf numFmtId="0" fontId="50" fillId="0" borderId="4" xfId="0" applyFont="1" applyBorder="1" applyAlignment="1">
      <alignment horizontal="left"/>
    </xf>
    <xf numFmtId="49" fontId="35" fillId="6" borderId="24" xfId="0" applyNumberFormat="1" applyFont="1" applyFill="1" applyBorder="1" applyAlignment="1">
      <alignment horizontal="left" vertical="center"/>
    </xf>
    <xf numFmtId="0" fontId="21" fillId="6" borderId="43" xfId="0" applyFont="1" applyFill="1" applyBorder="1" applyAlignment="1">
      <alignment horizontal="left" vertical="center"/>
    </xf>
    <xf numFmtId="0" fontId="35" fillId="6" borderId="26" xfId="0" applyFont="1" applyFill="1" applyBorder="1" applyAlignment="1">
      <alignment horizontal="left" vertical="center"/>
    </xf>
    <xf numFmtId="0" fontId="26" fillId="2" borderId="4" xfId="0" applyFont="1" applyFill="1" applyBorder="1" applyAlignment="1">
      <alignment horizontal="left"/>
    </xf>
    <xf numFmtId="49" fontId="35" fillId="6" borderId="25" xfId="0" applyNumberFormat="1" applyFont="1" applyFill="1" applyBorder="1" applyAlignment="1">
      <alignment horizontal="left" vertical="center"/>
    </xf>
    <xf numFmtId="49" fontId="35" fillId="6" borderId="26" xfId="0" applyNumberFormat="1" applyFont="1" applyFill="1" applyBorder="1" applyAlignment="1">
      <alignment horizontal="left" vertical="center"/>
    </xf>
    <xf numFmtId="49" fontId="35" fillId="6" borderId="42" xfId="0" applyNumberFormat="1" applyFont="1" applyFill="1" applyBorder="1" applyAlignment="1">
      <alignment horizontal="left" vertical="center"/>
    </xf>
    <xf numFmtId="0" fontId="35" fillId="6" borderId="122" xfId="0" applyFont="1" applyFill="1" applyBorder="1" applyAlignment="1">
      <alignment horizontal="left" vertical="center"/>
    </xf>
    <xf numFmtId="14" fontId="35" fillId="6" borderId="125" xfId="0" applyNumberFormat="1" applyFont="1" applyFill="1" applyBorder="1" applyAlignment="1">
      <alignment horizontal="left" vertical="center"/>
    </xf>
    <xf numFmtId="0" fontId="21" fillId="0" borderId="4" xfId="0" applyFont="1" applyBorder="1" applyAlignment="1">
      <alignment horizontal="left"/>
    </xf>
    <xf numFmtId="0" fontId="35" fillId="6" borderId="42" xfId="0" applyFont="1" applyFill="1" applyBorder="1" applyAlignment="1">
      <alignment horizontal="left" vertical="center"/>
    </xf>
    <xf numFmtId="0" fontId="21" fillId="6" borderId="21" xfId="0" applyFont="1" applyFill="1" applyBorder="1" applyAlignment="1">
      <alignment horizontal="left" vertical="top" wrapText="1"/>
    </xf>
    <xf numFmtId="0" fontId="21" fillId="6" borderId="16" xfId="0" applyFont="1" applyFill="1" applyBorder="1" applyAlignment="1">
      <alignment horizontal="left" vertical="top" wrapText="1"/>
    </xf>
    <xf numFmtId="0" fontId="21" fillId="6" borderId="22" xfId="0" applyFont="1" applyFill="1" applyBorder="1" applyAlignment="1">
      <alignment horizontal="left" vertical="top" wrapText="1"/>
    </xf>
    <xf numFmtId="0" fontId="21" fillId="5" borderId="21" xfId="0" applyFont="1" applyFill="1" applyBorder="1" applyAlignment="1">
      <alignment horizontal="center"/>
    </xf>
    <xf numFmtId="0" fontId="21" fillId="5" borderId="16" xfId="0" applyFont="1" applyFill="1" applyBorder="1" applyAlignment="1">
      <alignment horizontal="center"/>
    </xf>
    <xf numFmtId="0" fontId="21" fillId="5" borderId="104" xfId="0" applyFont="1" applyFill="1" applyBorder="1" applyAlignment="1">
      <alignment horizontal="center"/>
    </xf>
    <xf numFmtId="0" fontId="32" fillId="6" borderId="122" xfId="5" applyNumberFormat="1" applyFont="1" applyFill="1" applyBorder="1" applyAlignment="1" applyProtection="1">
      <alignment horizontal="left" vertical="center"/>
    </xf>
    <xf numFmtId="0" fontId="5" fillId="0" borderId="30" xfId="0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14" fontId="6" fillId="5" borderId="30" xfId="0" applyNumberFormat="1" applyFont="1" applyFill="1" applyBorder="1" applyAlignment="1">
      <alignment horizontal="center" vertical="center"/>
    </xf>
    <xf numFmtId="14" fontId="6" fillId="5" borderId="32" xfId="0" applyNumberFormat="1" applyFont="1" applyFill="1" applyBorder="1" applyAlignment="1">
      <alignment horizontal="center" vertical="center"/>
    </xf>
    <xf numFmtId="0" fontId="21" fillId="6" borderId="23" xfId="0" applyFont="1" applyFill="1" applyBorder="1" applyAlignment="1">
      <alignment horizontal="left" vertical="top"/>
    </xf>
    <xf numFmtId="0" fontId="21" fillId="6" borderId="123" xfId="0" applyFont="1" applyFill="1" applyBorder="1" applyAlignment="1">
      <alignment horizontal="left" vertical="top"/>
    </xf>
    <xf numFmtId="0" fontId="21" fillId="5" borderId="130" xfId="0" applyFont="1" applyFill="1" applyBorder="1" applyAlignment="1">
      <alignment horizontal="center"/>
    </xf>
    <xf numFmtId="0" fontId="21" fillId="5" borderId="111" xfId="0" applyFont="1" applyFill="1" applyBorder="1" applyAlignment="1">
      <alignment horizontal="center"/>
    </xf>
    <xf numFmtId="0" fontId="21" fillId="5" borderId="106" xfId="0" applyFont="1" applyFill="1" applyBorder="1" applyAlignment="1">
      <alignment horizontal="center"/>
    </xf>
    <xf numFmtId="0" fontId="33" fillId="0" borderId="8" xfId="0" applyFont="1" applyBorder="1" applyAlignment="1">
      <alignment horizontal="left"/>
    </xf>
    <xf numFmtId="0" fontId="33" fillId="0" borderId="4" xfId="0" applyFont="1" applyBorder="1" applyAlignment="1">
      <alignment horizontal="left"/>
    </xf>
    <xf numFmtId="0" fontId="33" fillId="0" borderId="5" xfId="0" applyFont="1" applyBorder="1" applyAlignment="1">
      <alignment horizontal="left"/>
    </xf>
    <xf numFmtId="0" fontId="21" fillId="6" borderId="130" xfId="0" applyFont="1" applyFill="1" applyBorder="1" applyAlignment="1">
      <alignment horizontal="left" vertical="top" wrapText="1"/>
    </xf>
    <xf numFmtId="0" fontId="21" fillId="6" borderId="111" xfId="0" applyFont="1" applyFill="1" applyBorder="1" applyAlignment="1">
      <alignment horizontal="left" vertical="top" wrapText="1"/>
    </xf>
    <xf numFmtId="0" fontId="21" fillId="6" borderId="113" xfId="0" applyFont="1" applyFill="1" applyBorder="1" applyAlignment="1">
      <alignment horizontal="left" vertical="top" wrapText="1"/>
    </xf>
    <xf numFmtId="0" fontId="6" fillId="2" borderId="30" xfId="0" applyFont="1" applyFill="1" applyBorder="1" applyAlignment="1">
      <alignment horizontal="center" textRotation="90" wrapText="1"/>
    </xf>
    <xf numFmtId="0" fontId="6" fillId="2" borderId="31" xfId="0" applyFont="1" applyFill="1" applyBorder="1" applyAlignment="1">
      <alignment horizontal="center" textRotation="90" wrapText="1"/>
    </xf>
    <xf numFmtId="0" fontId="6" fillId="2" borderId="32" xfId="0" applyFont="1" applyFill="1" applyBorder="1" applyAlignment="1">
      <alignment horizontal="center" textRotation="90" wrapText="1"/>
    </xf>
    <xf numFmtId="0" fontId="21" fillId="6" borderId="129" xfId="0" applyFont="1" applyFill="1" applyBorder="1" applyAlignment="1">
      <alignment horizontal="left" vertical="top" wrapText="1"/>
    </xf>
    <xf numFmtId="0" fontId="21" fillId="6" borderId="56" xfId="0" applyFont="1" applyFill="1" applyBorder="1" applyAlignment="1">
      <alignment horizontal="left" vertical="top" wrapText="1"/>
    </xf>
    <xf numFmtId="0" fontId="21" fillId="6" borderId="112" xfId="0" applyFont="1" applyFill="1" applyBorder="1" applyAlignment="1">
      <alignment horizontal="left" vertical="top" wrapText="1"/>
    </xf>
    <xf numFmtId="0" fontId="21" fillId="5" borderId="129" xfId="0" applyFont="1" applyFill="1" applyBorder="1" applyAlignment="1">
      <alignment horizontal="center"/>
    </xf>
    <xf numFmtId="0" fontId="21" fillId="5" borderId="56" xfId="0" applyFont="1" applyFill="1" applyBorder="1" applyAlignment="1">
      <alignment horizontal="center"/>
    </xf>
    <xf numFmtId="0" fontId="21" fillId="5" borderId="103" xfId="0" applyFont="1" applyFill="1" applyBorder="1" applyAlignment="1">
      <alignment horizontal="center"/>
    </xf>
    <xf numFmtId="0" fontId="35" fillId="0" borderId="8" xfId="0" applyFont="1" applyBorder="1" applyAlignment="1">
      <alignment horizontal="left"/>
    </xf>
    <xf numFmtId="0" fontId="35" fillId="0" borderId="4" xfId="0" applyFont="1" applyBorder="1" applyAlignment="1">
      <alignment horizontal="left"/>
    </xf>
    <xf numFmtId="0" fontId="28" fillId="0" borderId="30" xfId="0" applyFont="1" applyBorder="1" applyAlignment="1">
      <alignment horizontal="left" vertical="top"/>
    </xf>
    <xf numFmtId="0" fontId="28" fillId="0" borderId="31" xfId="0" applyFont="1" applyBorder="1" applyAlignment="1">
      <alignment horizontal="left" vertical="top"/>
    </xf>
    <xf numFmtId="0" fontId="28" fillId="0" borderId="32" xfId="0" applyFont="1" applyBorder="1" applyAlignment="1">
      <alignment horizontal="left" vertical="top"/>
    </xf>
    <xf numFmtId="0" fontId="21" fillId="6" borderId="129" xfId="0" applyFont="1" applyFill="1" applyBorder="1" applyAlignment="1">
      <alignment horizontal="left" vertical="top"/>
    </xf>
    <xf numFmtId="0" fontId="21" fillId="6" borderId="56" xfId="0" applyFont="1" applyFill="1" applyBorder="1" applyAlignment="1">
      <alignment horizontal="left" vertical="top"/>
    </xf>
    <xf numFmtId="0" fontId="21" fillId="6" borderId="103" xfId="0" applyFont="1" applyFill="1" applyBorder="1" applyAlignment="1">
      <alignment horizontal="left" vertical="top"/>
    </xf>
    <xf numFmtId="0" fontId="21" fillId="6" borderId="89" xfId="0" applyFont="1" applyFill="1" applyBorder="1" applyAlignment="1">
      <alignment horizontal="left" vertical="top"/>
    </xf>
    <xf numFmtId="0" fontId="21" fillId="6" borderId="124" xfId="0" applyFont="1" applyFill="1" applyBorder="1" applyAlignment="1">
      <alignment horizontal="left" vertical="top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14" fontId="0" fillId="0" borderId="20" xfId="0" applyNumberFormat="1" applyBorder="1" applyAlignment="1">
      <alignment horizontal="center" vertical="top"/>
    </xf>
    <xf numFmtId="14" fontId="0" fillId="0" borderId="12" xfId="0" applyNumberFormat="1" applyBorder="1" applyAlignment="1">
      <alignment horizontal="center" vertical="top"/>
    </xf>
    <xf numFmtId="14" fontId="0" fillId="0" borderId="13" xfId="0" applyNumberFormat="1" applyBorder="1" applyAlignment="1">
      <alignment horizontal="center" vertical="top"/>
    </xf>
    <xf numFmtId="0" fontId="49" fillId="8" borderId="10" xfId="0" applyFont="1" applyFill="1" applyBorder="1" applyAlignment="1">
      <alignment horizontal="center" vertical="center"/>
    </xf>
    <xf numFmtId="0" fontId="49" fillId="13" borderId="10" xfId="0" applyFont="1" applyFill="1" applyBorder="1" applyAlignment="1">
      <alignment horizontal="center" vertical="center"/>
    </xf>
    <xf numFmtId="14" fontId="21" fillId="0" borderId="0" xfId="0" applyNumberFormat="1" applyFont="1"/>
  </cellXfs>
  <cellStyles count="30">
    <cellStyle name="Euro" xfId="1" xr:uid="{00000000-0005-0000-0000-000000000000}"/>
    <cellStyle name="Euro 2" xfId="2" xr:uid="{00000000-0005-0000-0000-000001000000}"/>
    <cellStyle name="Euro 2 2" xfId="3" xr:uid="{00000000-0005-0000-0000-000002000000}"/>
    <cellStyle name="Euro 2 2 2" xfId="23" xr:uid="{EA5CC2DF-1D95-4338-A054-BB61CB076F82}"/>
    <cellStyle name="Euro 2 3" xfId="22" xr:uid="{E825427D-5978-4F21-B0A0-B23C642ED245}"/>
    <cellStyle name="Euro 3" xfId="4" xr:uid="{00000000-0005-0000-0000-000003000000}"/>
    <cellStyle name="Euro 4" xfId="21" xr:uid="{E9C81B02-AFE7-4CB4-A17E-F8B0E4A702FC}"/>
    <cellStyle name="Hyperlink 2" xfId="6" xr:uid="{00000000-0005-0000-0000-000004000000}"/>
    <cellStyle name="Link" xfId="5" builtinId="8"/>
    <cellStyle name="Normal_030709_QAF_Spezifizierung_1.8" xfId="7" xr:uid="{00000000-0005-0000-0000-000006000000}"/>
    <cellStyle name="Prozent" xfId="8" builtinId="5"/>
    <cellStyle name="Standard" xfId="0" builtinId="0"/>
    <cellStyle name="Standard 2" xfId="9" xr:uid="{00000000-0005-0000-0000-000009000000}"/>
    <cellStyle name="Standard 2 2" xfId="10" xr:uid="{00000000-0005-0000-0000-00000A000000}"/>
    <cellStyle name="Standard 2 3" xfId="11" xr:uid="{00000000-0005-0000-0000-00000B000000}"/>
    <cellStyle name="Standard 3" xfId="12" xr:uid="{00000000-0005-0000-0000-00000C000000}"/>
    <cellStyle name="Standard 4" xfId="13" xr:uid="{00000000-0005-0000-0000-00000D000000}"/>
    <cellStyle name="Standard 5" xfId="14" xr:uid="{00000000-0005-0000-0000-00000E000000}"/>
    <cellStyle name="Standard 6" xfId="15" xr:uid="{00000000-0005-0000-0000-00000F000000}"/>
    <cellStyle name="Standard 7" xfId="16" xr:uid="{00000000-0005-0000-0000-000010000000}"/>
    <cellStyle name="Standard 7 2" xfId="24" xr:uid="{45D30D84-6C16-4BF9-8574-3E3D690E649C}"/>
    <cellStyle name="Währung" xfId="29" builtinId="4"/>
    <cellStyle name="Währung 2" xfId="17" xr:uid="{00000000-0005-0000-0000-000011000000}"/>
    <cellStyle name="Währung 2 2" xfId="18" xr:uid="{00000000-0005-0000-0000-000012000000}"/>
    <cellStyle name="Währung 2 2 2" xfId="26" xr:uid="{747332F0-7F53-4482-9B09-BB4537D7C6F6}"/>
    <cellStyle name="Währung 2 3" xfId="25" xr:uid="{F47A465E-2DCC-4611-829C-DE7254231F61}"/>
    <cellStyle name="Währung 3" xfId="19" xr:uid="{00000000-0005-0000-0000-000013000000}"/>
    <cellStyle name="Währung 3 2" xfId="27" xr:uid="{CB22EAC7-5455-4F5F-A2F0-8A36D79202F0}"/>
    <cellStyle name="Währung 4" xfId="20" xr:uid="{00000000-0005-0000-0000-000014000000}"/>
    <cellStyle name="Währung 4 2" xfId="28" xr:uid="{18C2F520-E7B2-4260-BA82-99AD3896E7A7}"/>
  </cellStyles>
  <dxfs count="62"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 tint="-0.499984740745262"/>
        </patternFill>
      </fill>
    </dxf>
    <dxf>
      <fill>
        <patternFill patternType="lightUp">
          <bgColor theme="0" tint="-0.34998626667073579"/>
        </patternFill>
      </fill>
    </dxf>
    <dxf>
      <fill>
        <patternFill patternType="lightUp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/>
      </fill>
    </dxf>
    <dxf>
      <fill>
        <patternFill patternType="lightUp"/>
      </fill>
    </dxf>
    <dxf>
      <fill>
        <patternFill patternType="lightUp">
          <bgColor theme="0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/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solid">
          <bgColor theme="0"/>
        </patternFill>
      </fill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medium">
          <color indexed="64"/>
        </left>
        <right style="medium">
          <color indexed="64"/>
        </righ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</border>
    </dxf>
    <dxf>
      <fill>
        <patternFill patternType="none">
          <bgColor indexed="65"/>
        </patternFill>
      </fill>
    </dxf>
    <dxf>
      <font>
        <name val="BMW Group Light"/>
        <scheme val="none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0F0F0"/>
        </patternFill>
      </fill>
    </dxf>
    <dxf>
      <border>
        <top style="medium">
          <color indexed="64"/>
        </top>
        <bottom style="medium">
          <color indexed="64"/>
        </bottom>
      </border>
    </dxf>
    <dxf>
      <fill>
        <patternFill>
          <bgColor rgb="FFF0F0F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</dxf>
    <dxf>
      <fill>
        <patternFill>
          <bgColor rgb="FFE9E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rgb="FFE9E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3" defaultTableStyle="TableStyleMedium9" defaultPivotStyle="PivotStyleLight16">
    <tableStyle name="PivotTable-Format 1" table="0" count="0" xr9:uid="{00000000-0011-0000-FFFF-FFFF00000000}"/>
    <tableStyle name="PivotTable-Format 2" table="0" count="1" xr9:uid="{00000000-0011-0000-FFFF-FFFF01000000}">
      <tableStyleElement type="wholeTable" dxfId="61"/>
    </tableStyle>
    <tableStyle name="PivotTable-Format 3" table="0" count="1" xr9:uid="{00000000-0011-0000-FFFF-FFFF02000000}">
      <tableStyleElement type="wholeTable" dxfId="60"/>
    </tableStyle>
  </tableStyles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urope.bmw.corp\WINFS\02_Methoden\01_Kostenmodelle\10_Down_Load\Updates\170314_Update%20B2B_MPro\M%20PRO%20alt\DOK_160831_Logistik%20Analyse%20Form%20LAF_6.03.01_d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packung"/>
      <sheetName val="Transport"/>
      <sheetName val="Units"/>
      <sheetName val="LVP"/>
      <sheetName val="Dokumentenlenkung"/>
    </sheetNames>
    <sheetDataSet>
      <sheetData sheetId="0" refreshError="1"/>
      <sheetData sheetId="1" refreshError="1"/>
      <sheetData sheetId="2">
        <row r="2">
          <cell r="A2" t="str">
            <v>EUR</v>
          </cell>
        </row>
        <row r="3">
          <cell r="A3" t="str">
            <v>USD</v>
          </cell>
        </row>
        <row r="4">
          <cell r="A4" t="str">
            <v>CNY</v>
          </cell>
        </row>
        <row r="7">
          <cell r="A7" t="str">
            <v>km</v>
          </cell>
        </row>
        <row r="8">
          <cell r="A8" t="str">
            <v>miles</v>
          </cell>
        </row>
        <row r="11">
          <cell r="A11" t="str">
            <v>FTL (Full Truck Load)</v>
          </cell>
        </row>
        <row r="12">
          <cell r="A12" t="str">
            <v>Milk run</v>
          </cell>
        </row>
        <row r="13">
          <cell r="A13" t="str">
            <v>LTL (Less than Truck Load)</v>
          </cell>
        </row>
        <row r="14">
          <cell r="A14" t="str">
            <v>FCL (Full Container Load)</v>
          </cell>
        </row>
        <row r="15">
          <cell r="A15" t="str">
            <v>LCL (Less than Container Load)</v>
          </cell>
        </row>
        <row r="18">
          <cell r="A18" t="str">
            <v>Container - 20'</v>
          </cell>
        </row>
        <row r="19">
          <cell r="A19" t="str">
            <v>Container - 40'</v>
          </cell>
        </row>
        <row r="20">
          <cell r="A20" t="str">
            <v>Container - 40' High Cube</v>
          </cell>
        </row>
        <row r="21">
          <cell r="A21" t="str">
            <v>EU - Megatrailer</v>
          </cell>
        </row>
        <row r="22">
          <cell r="A22" t="str">
            <v>EU - Jumbo</v>
          </cell>
        </row>
        <row r="23">
          <cell r="A23" t="str">
            <v>EU - 7.5 Tonner</v>
          </cell>
        </row>
        <row r="24">
          <cell r="A24" t="str">
            <v>US - Truck 53'</v>
          </cell>
        </row>
        <row r="25">
          <cell r="A25" t="str">
            <v>CN - 8to</v>
          </cell>
        </row>
        <row r="26">
          <cell r="A26" t="str">
            <v>CN - 20to</v>
          </cell>
        </row>
        <row r="27">
          <cell r="A27" t="str">
            <v>CN - 25to</v>
          </cell>
        </row>
        <row r="28">
          <cell r="A28" t="str">
            <v>CN - 30to</v>
          </cell>
        </row>
        <row r="31">
          <cell r="A31" t="str">
            <v>Oneway</v>
          </cell>
        </row>
        <row r="32">
          <cell r="A32" t="str">
            <v>Returnables</v>
          </cell>
        </row>
      </sheetData>
      <sheetData sheetId="3" refreshError="1"/>
      <sheetData sheetId="4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bold Henry" refreshedDate="44756.308448611111" createdVersion="8" refreshedVersion="8" recordCount="21" xr:uid="{00000000-000A-0000-FFFF-FFFF00000000}">
  <cacheSource type="worksheet">
    <worksheetSource ref="Y11:AA33" sheet="Material"/>
  </cacheSource>
  <cacheFields count="3">
    <cacheField name=" Rohstoffbezeichnung" numFmtId="0">
      <sharedItems containsBlank="1" count="17">
        <m/>
        <s v="Kunststoff ABS-PC"/>
        <s v="ALUMINIUM HG 3M SELLER LME (MTZ)" u="1"/>
        <s v="Aluminium (LME, Reinrohstoff)" u="1"/>
        <s v="Legierungszuschlag" u="1"/>
        <s v="Kunststoff ABS-PC - Recyclat" u="1"/>
        <s v="Kunststoff MDI" u="1"/>
        <s v="Kunststoff PP-GFxx - Recyclat" u="1"/>
        <s v="Kunststoff PP-TVxx - Recyclat" u="1"/>
        <s v="BLEI LME CASH SELLER (MTZ)" u="1"/>
        <s v="Blei (LME, Reinrohstoff)" u="1"/>
        <s v="Kunststoff Polyacrylnitril" u="1"/>
        <s v="Kunststoff PA - Recyclat" u="1"/>
        <s v="Kunststoff PP - Recyclat" u="1"/>
        <s v="Carbon Black" u="1"/>
        <s v="Kunststoff Polyol" u="1"/>
        <s v="Zink (Reinrohstoff)" u="1"/>
      </sharedItems>
    </cacheField>
    <cacheField name=" Bezugsgewicht [kg]" numFmtId="165">
      <sharedItems containsString="0" containsBlank="1" containsNumber="1" minValue="6.5099999999999991E-2" maxValue="0.10299999999999999"/>
    </cacheField>
    <cacheField name=" Rohstoffnotierung_x000a_ Ro [AW/kg]" numFmtId="0">
      <sharedItems containsString="0" containsBlank="1" containsNumber="1" minValue="1.3749" maxValue="1.374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">
  <r>
    <x v="0"/>
    <m/>
    <m/>
  </r>
  <r>
    <x v="0"/>
    <m/>
    <m/>
  </r>
  <r>
    <x v="1"/>
    <n v="6.5099999999999991E-2"/>
    <n v="1.3749"/>
  </r>
  <r>
    <x v="0"/>
    <m/>
    <m/>
  </r>
  <r>
    <x v="0"/>
    <m/>
    <m/>
  </r>
  <r>
    <x v="0"/>
    <m/>
    <m/>
  </r>
  <r>
    <x v="1"/>
    <n v="0.10299999999999999"/>
    <n v="1.3749"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  <r>
    <x v="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15" cacheId="17" dataOnRows="1" applyNumberFormats="0" applyBorderFormats="0" applyFontFormats="0" applyPatternFormats="0" applyAlignmentFormats="0" applyWidthHeightFormats="1" dataCaption="Daten" showMissing="0" updatedVersion="8" minRefreshableVersion="3" showMemberPropertyTips="0" rowGrandTotals="0" colGrandTotals="0" itemPrintTitles="1" createdVersion="8" indent="0" compact="0" compactData="0" gridDropZones="1">
  <location ref="C13:D15" firstHeaderRow="2" firstDataRow="2" firstDataCol="1"/>
  <pivotFields count="3">
    <pivotField axis="axisRow" compact="0" outline="0" subtotalTop="0" showAll="0" includeNewItemsInFilter="1" defaultSubtotal="0">
      <items count="17">
        <item h="1" x="0"/>
        <item m="1" x="10"/>
        <item m="1" x="14"/>
        <item m="1" x="9"/>
        <item m="1" x="3"/>
        <item m="1" x="16"/>
        <item m="1" x="12"/>
        <item m="1" x="15"/>
        <item m="1" x="13"/>
        <item m="1" x="7"/>
        <item m="1" x="11"/>
        <item m="1" x="6"/>
        <item m="1" x="5"/>
        <item m="1" x="8"/>
        <item m="1" x="4"/>
        <item m="1" x="2"/>
        <item x="1"/>
      </items>
    </pivotField>
    <pivotField dataField="1" compact="0" outline="0" subtotalTop="0" showAll="0" includeNewItemsInFilter="1" defaultSubtotal="0"/>
    <pivotField compact="0" outline="0" subtotalTop="0" showAll="0" includeNewItemsInFilter="1" defaultSubtotal="0"/>
  </pivotFields>
  <rowFields count="1">
    <field x="0"/>
  </rowFields>
  <rowItems count="1">
    <i>
      <x v="16"/>
    </i>
  </rowItems>
  <colItems count="1">
    <i/>
  </colItems>
  <dataFields count="1">
    <dataField name="Summe von  Bezugsgewicht [kg]" fld="1" baseField="0" baseItem="0"/>
  </dataFields>
  <formats count="13">
    <format dxfId="59">
      <pivotArea outline="0" fieldPosition="0"/>
    </format>
    <format dxfId="58">
      <pivotArea outline="0" fieldPosition="0"/>
    </format>
    <format dxfId="57">
      <pivotArea outline="0" fieldPosition="0"/>
    </format>
    <format dxfId="56">
      <pivotArea outline="0" fieldPosition="0"/>
    </format>
    <format dxfId="55">
      <pivotArea outline="0" fieldPosition="0"/>
    </format>
    <format dxfId="54">
      <pivotArea outline="0" fieldPosition="0"/>
    </format>
    <format dxfId="53">
      <pivotArea outline="0" fieldPosition="0"/>
    </format>
    <format dxfId="52">
      <pivotArea type="all" dataOnly="0" outline="0" fieldPosition="0"/>
    </format>
    <format dxfId="51">
      <pivotArea outline="0" fieldPosition="0"/>
    </format>
    <format dxfId="50">
      <pivotArea outline="0" fieldPosition="0"/>
    </format>
    <format dxfId="49">
      <pivotArea type="all" dataOnly="0" outline="0" fieldPosition="0"/>
    </format>
    <format dxfId="48">
      <pivotArea outline="0" fieldPosition="0"/>
    </format>
    <format dxfId="47">
      <pivotArea type="topRight" dataOnly="0" labelOnly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enry.sebold@nbhx-trim.com" TargetMode="External"/><Relationship Id="rId1" Type="http://schemas.openxmlformats.org/officeDocument/2006/relationships/hyperlink" Target="https://b2b.bmwgroup.ne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2b.bmwgroup.ne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2b.bmwgroup.ne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2b.bmwgroup.ne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b2b.bmwgroup.net/" TargetMode="External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01Zus">
    <tabColor theme="6" tint="-0.249977111117893"/>
    <pageSetUpPr fitToPage="1"/>
  </sheetPr>
  <dimension ref="A1:AK42"/>
  <sheetViews>
    <sheetView showGridLines="0" showZeros="0" tabSelected="1" topLeftCell="A13" zoomScale="80" zoomScaleNormal="80" workbookViewId="0">
      <selection activeCell="Q29" sqref="Q29"/>
    </sheetView>
  </sheetViews>
  <sheetFormatPr baseColWidth="10" defaultColWidth="11.44140625" defaultRowHeight="13.8"/>
  <cols>
    <col min="1" max="1" width="1.44140625" style="285" customWidth="1"/>
    <col min="2" max="2" width="32.6640625" style="59" customWidth="1"/>
    <col min="3" max="3" width="9.6640625" style="59" customWidth="1"/>
    <col min="4" max="4" width="11.6640625" style="59" customWidth="1"/>
    <col min="5" max="5" width="2.6640625" style="59" customWidth="1"/>
    <col min="6" max="6" width="3.6640625" style="59" customWidth="1"/>
    <col min="7" max="7" width="14.6640625" style="59" customWidth="1"/>
    <col min="8" max="8" width="9.6640625" style="59" customWidth="1"/>
    <col min="9" max="9" width="13.6640625" style="59" customWidth="1"/>
    <col min="10" max="10" width="10.6640625" style="59" customWidth="1"/>
    <col min="11" max="11" width="8.6640625" style="59" customWidth="1"/>
    <col min="12" max="12" width="26.88671875" style="59" customWidth="1"/>
    <col min="13" max="13" width="7.6640625" style="59" customWidth="1"/>
    <col min="14" max="14" width="14.88671875" style="59" customWidth="1"/>
    <col min="15" max="15" width="14.6640625" style="59" customWidth="1"/>
    <col min="16" max="16" width="15.5546875" style="59" customWidth="1"/>
    <col min="17" max="17" width="1.44140625" style="59" customWidth="1"/>
    <col min="18" max="20" width="11.44140625" style="59" hidden="1" customWidth="1"/>
    <col min="21" max="22" width="0" style="59" hidden="1" customWidth="1"/>
    <col min="23" max="23" width="16.109375" style="59" hidden="1" customWidth="1"/>
    <col min="24" max="29" width="0" style="59" hidden="1" customWidth="1"/>
    <col min="30" max="30" width="1.5546875" style="59" hidden="1" customWidth="1"/>
    <col min="31" max="33" width="0" style="59" hidden="1" customWidth="1"/>
    <col min="34" max="16384" width="11.44140625" style="59"/>
  </cols>
  <sheetData>
    <row r="1" spans="1:35" s="285" customFormat="1" ht="7.5" customHeight="1" thickBot="1">
      <c r="A1" s="507"/>
      <c r="B1" s="507"/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8"/>
      <c r="P1" s="507"/>
      <c r="Q1" s="507"/>
    </row>
    <row r="2" spans="1:35" ht="26.25" customHeight="1">
      <c r="A2" s="509">
        <v>26.25</v>
      </c>
      <c r="B2" s="55" t="s">
        <v>1</v>
      </c>
      <c r="C2" s="56"/>
      <c r="D2" s="56"/>
      <c r="E2" s="66"/>
      <c r="F2" s="58" t="s">
        <v>2</v>
      </c>
      <c r="G2" s="56"/>
      <c r="H2" s="56"/>
      <c r="I2" s="56"/>
      <c r="J2" s="56"/>
      <c r="K2" s="56"/>
      <c r="L2" s="57" t="s">
        <v>649</v>
      </c>
      <c r="M2" s="57"/>
      <c r="N2" s="56"/>
      <c r="O2" s="654" t="s">
        <v>951</v>
      </c>
      <c r="P2" s="66"/>
      <c r="Q2" s="91"/>
    </row>
    <row r="3" spans="1:35" ht="18" customHeight="1">
      <c r="A3" s="510">
        <v>18</v>
      </c>
      <c r="B3" s="67" t="s">
        <v>500</v>
      </c>
      <c r="C3" s="69"/>
      <c r="D3" s="69"/>
      <c r="E3" s="169"/>
      <c r="F3" s="170" t="s">
        <v>4</v>
      </c>
      <c r="H3" s="71"/>
      <c r="I3" s="71"/>
      <c r="J3" s="71"/>
      <c r="K3" s="71"/>
      <c r="L3" s="72" t="s">
        <v>964</v>
      </c>
      <c r="M3" s="65"/>
      <c r="N3" s="71"/>
      <c r="O3" s="71"/>
      <c r="P3" s="73"/>
      <c r="Q3" s="91"/>
    </row>
    <row r="4" spans="1:35" ht="15.75" customHeight="1" thickBot="1">
      <c r="A4" s="510">
        <v>15.75</v>
      </c>
      <c r="B4" s="653" t="s">
        <v>962</v>
      </c>
      <c r="C4" s="327"/>
      <c r="D4" s="74"/>
      <c r="E4" s="171"/>
      <c r="F4" s="172"/>
      <c r="G4" s="75"/>
      <c r="H4" s="75"/>
      <c r="I4" s="75"/>
      <c r="J4" s="75"/>
      <c r="K4" s="75"/>
      <c r="M4" s="75"/>
      <c r="N4" s="75"/>
      <c r="O4" s="75"/>
      <c r="P4" s="76"/>
      <c r="Q4" s="91"/>
    </row>
    <row r="5" spans="1:35" ht="17.100000000000001" customHeight="1">
      <c r="A5" s="511">
        <v>17</v>
      </c>
      <c r="B5" s="173" t="s">
        <v>5</v>
      </c>
      <c r="C5" s="771" t="s">
        <v>1010</v>
      </c>
      <c r="D5" s="771"/>
      <c r="E5" s="772"/>
      <c r="F5" s="329" t="s">
        <v>280</v>
      </c>
      <c r="G5" s="329"/>
      <c r="H5" s="329"/>
      <c r="I5" s="771" t="s">
        <v>966</v>
      </c>
      <c r="J5" s="771"/>
      <c r="K5" s="771"/>
      <c r="L5" s="148" t="s">
        <v>6</v>
      </c>
      <c r="M5" s="771" t="s">
        <v>1043</v>
      </c>
      <c r="N5" s="771"/>
      <c r="O5" s="771"/>
      <c r="P5" s="772"/>
      <c r="Q5" s="91"/>
    </row>
    <row r="6" spans="1:35" ht="17.100000000000001" customHeight="1">
      <c r="A6" s="511">
        <v>17</v>
      </c>
      <c r="B6" s="150" t="s">
        <v>7</v>
      </c>
      <c r="C6" s="773" t="s">
        <v>1011</v>
      </c>
      <c r="D6" s="774"/>
      <c r="E6" s="775"/>
      <c r="F6" s="331" t="s">
        <v>8</v>
      </c>
      <c r="G6" s="331"/>
      <c r="H6" s="331"/>
      <c r="I6" s="774">
        <v>14537310</v>
      </c>
      <c r="J6" s="774"/>
      <c r="K6" s="774"/>
      <c r="L6" s="151" t="s">
        <v>9</v>
      </c>
      <c r="M6" s="780"/>
      <c r="N6" s="780"/>
      <c r="O6" s="780"/>
      <c r="P6" s="781"/>
      <c r="Q6" s="91"/>
    </row>
    <row r="7" spans="1:35" ht="17.100000000000001" customHeight="1">
      <c r="A7" s="511">
        <v>17</v>
      </c>
      <c r="B7" s="150" t="s">
        <v>10</v>
      </c>
      <c r="C7" s="778" t="s">
        <v>1012</v>
      </c>
      <c r="D7" s="774"/>
      <c r="E7" s="775"/>
      <c r="F7" s="331" t="s">
        <v>11</v>
      </c>
      <c r="G7" s="331"/>
      <c r="H7" s="331"/>
      <c r="I7" s="774" t="s">
        <v>967</v>
      </c>
      <c r="J7" s="774"/>
      <c r="K7" s="774"/>
      <c r="L7" s="151" t="s">
        <v>12</v>
      </c>
      <c r="M7" s="780"/>
      <c r="N7" s="780"/>
      <c r="O7" s="780"/>
      <c r="P7" s="781"/>
      <c r="Q7" s="91"/>
    </row>
    <row r="8" spans="1:35" ht="17.100000000000001" customHeight="1" thickBot="1">
      <c r="A8" s="511">
        <v>17</v>
      </c>
      <c r="B8" s="153" t="s">
        <v>13</v>
      </c>
      <c r="C8" s="776">
        <v>45169</v>
      </c>
      <c r="D8" s="776"/>
      <c r="E8" s="777"/>
      <c r="F8" s="174" t="s">
        <v>14</v>
      </c>
      <c r="G8" s="174"/>
      <c r="H8" s="174"/>
      <c r="I8" s="784">
        <v>9638715</v>
      </c>
      <c r="J8" s="782"/>
      <c r="K8" s="782"/>
      <c r="L8" s="154" t="s">
        <v>15</v>
      </c>
      <c r="M8" s="782"/>
      <c r="N8" s="782"/>
      <c r="O8" s="782"/>
      <c r="P8" s="783"/>
      <c r="Q8" s="91"/>
      <c r="S8" s="59" t="s">
        <v>650</v>
      </c>
    </row>
    <row r="9" spans="1:35" ht="12" customHeight="1" thickBot="1">
      <c r="A9" s="510">
        <v>20</v>
      </c>
      <c r="B9" s="175"/>
      <c r="C9" s="779"/>
      <c r="D9" s="779"/>
      <c r="E9" s="176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91"/>
    </row>
    <row r="10" spans="1:35" ht="18.899999999999999" customHeight="1" thickBot="1">
      <c r="A10" s="510">
        <v>19</v>
      </c>
      <c r="B10" s="102" t="s">
        <v>0</v>
      </c>
      <c r="C10" s="99"/>
      <c r="D10" s="103"/>
      <c r="E10" s="177"/>
      <c r="F10" s="178"/>
      <c r="G10" s="179"/>
      <c r="H10" s="179"/>
      <c r="I10" s="179"/>
      <c r="J10" s="179"/>
      <c r="K10" s="179"/>
      <c r="L10" s="179"/>
      <c r="M10" s="180" t="s">
        <v>494</v>
      </c>
      <c r="N10" s="181" t="str">
        <f>IF(C28="","", C28)</f>
        <v/>
      </c>
      <c r="O10" s="181" t="str">
        <f>IF(C27="","", C27)</f>
        <v/>
      </c>
      <c r="P10" s="182" t="str">
        <f>C26</f>
        <v>EUR</v>
      </c>
      <c r="Q10" s="91"/>
    </row>
    <row r="11" spans="1:35" ht="18.899999999999999" customHeight="1">
      <c r="A11" s="510">
        <v>19</v>
      </c>
      <c r="B11" s="558"/>
      <c r="C11" s="91"/>
      <c r="D11" s="559"/>
      <c r="E11" s="177"/>
      <c r="F11" s="183" t="s">
        <v>16</v>
      </c>
      <c r="G11" s="184" t="s">
        <v>337</v>
      </c>
      <c r="H11" s="185"/>
      <c r="I11" s="185"/>
      <c r="J11" s="186"/>
      <c r="K11" s="187"/>
      <c r="L11" s="188"/>
      <c r="M11" s="185"/>
      <c r="N11" s="344">
        <f ca="1">Material!U38</f>
        <v>0</v>
      </c>
      <c r="O11" s="344">
        <f ca="1">Material!U37</f>
        <v>0</v>
      </c>
      <c r="P11" s="332">
        <f ca="1">Material!U36</f>
        <v>9.4412577645333329</v>
      </c>
      <c r="Q11" s="91"/>
      <c r="R11" s="512"/>
      <c r="V11" s="681"/>
    </row>
    <row r="12" spans="1:35" ht="18.899999999999999" customHeight="1" thickBot="1">
      <c r="A12" s="510">
        <v>19</v>
      </c>
      <c r="B12" s="558"/>
      <c r="C12" s="91"/>
      <c r="D12" s="559"/>
      <c r="E12" s="177"/>
      <c r="F12" s="189" t="s">
        <v>17</v>
      </c>
      <c r="G12" s="190" t="s">
        <v>18</v>
      </c>
      <c r="H12" s="191"/>
      <c r="I12" s="191"/>
      <c r="J12" s="191"/>
      <c r="K12" s="191"/>
      <c r="L12" s="191"/>
      <c r="M12" s="191"/>
      <c r="N12" s="345">
        <f ca="1">Fertigungskosten!U38</f>
        <v>0</v>
      </c>
      <c r="O12" s="345">
        <f ca="1">Fertigungskosten!U37</f>
        <v>0</v>
      </c>
      <c r="P12" s="333">
        <f ca="1">Fertigungskosten!U36</f>
        <v>8.4243587960728874</v>
      </c>
      <c r="Q12" s="91"/>
      <c r="R12" s="512"/>
      <c r="S12" s="512"/>
      <c r="T12" s="512"/>
      <c r="V12" s="681"/>
      <c r="AH12" s="512"/>
    </row>
    <row r="13" spans="1:35" ht="18.899999999999999" customHeight="1">
      <c r="A13" s="510">
        <v>19</v>
      </c>
      <c r="B13" s="192" t="s">
        <v>42</v>
      </c>
      <c r="C13" s="675">
        <v>9.3000000000000007</v>
      </c>
      <c r="D13" s="555"/>
      <c r="E13" s="177"/>
      <c r="F13" s="193"/>
      <c r="G13" s="194" t="s">
        <v>407</v>
      </c>
      <c r="H13" s="165"/>
      <c r="I13" s="195"/>
      <c r="J13" s="196"/>
      <c r="K13" s="197"/>
      <c r="L13" s="198" t="s">
        <v>391</v>
      </c>
      <c r="M13" s="195"/>
      <c r="N13" s="346">
        <f ca="1">N12+N11</f>
        <v>0</v>
      </c>
      <c r="O13" s="346">
        <f ca="1">O12+O11</f>
        <v>0</v>
      </c>
      <c r="P13" s="334">
        <f ca="1">P12+P11</f>
        <v>17.86561656060622</v>
      </c>
      <c r="Q13" s="91"/>
      <c r="R13" s="512"/>
      <c r="V13" s="681"/>
      <c r="AH13" s="512"/>
    </row>
    <row r="14" spans="1:35" ht="18.899999999999999" customHeight="1">
      <c r="A14" s="510">
        <v>19</v>
      </c>
      <c r="B14" s="192" t="s">
        <v>43</v>
      </c>
      <c r="C14" s="556">
        <v>384540</v>
      </c>
      <c r="D14" s="557"/>
      <c r="E14" s="177"/>
      <c r="F14" s="199"/>
      <c r="G14" s="200" t="s">
        <v>331</v>
      </c>
      <c r="H14" s="200"/>
      <c r="I14" s="201"/>
      <c r="J14" s="202"/>
      <c r="K14" s="203"/>
      <c r="L14" s="204"/>
      <c r="M14" s="201"/>
      <c r="N14" s="347">
        <f ca="1">Material!M38+Material!L38</f>
        <v>0</v>
      </c>
      <c r="O14" s="347">
        <f ca="1">Material!M37+Material!L37</f>
        <v>0</v>
      </c>
      <c r="P14" s="335">
        <f ca="1">Material!M36+Material!L36</f>
        <v>3.6749999999999998E-2</v>
      </c>
      <c r="Q14" s="91"/>
      <c r="R14" s="512"/>
      <c r="V14" s="681"/>
      <c r="AH14" s="512">
        <v>0.65</v>
      </c>
      <c r="AI14" s="59" t="s">
        <v>1047</v>
      </c>
    </row>
    <row r="15" spans="1:35" ht="18.899999999999999" customHeight="1" thickBot="1">
      <c r="A15" s="510">
        <v>19</v>
      </c>
      <c r="B15" s="205" t="s">
        <v>44</v>
      </c>
      <c r="C15" s="556" t="s">
        <v>968</v>
      </c>
      <c r="D15" s="557"/>
      <c r="E15" s="177"/>
      <c r="F15" s="206"/>
      <c r="G15" s="207" t="s">
        <v>332</v>
      </c>
      <c r="H15" s="207"/>
      <c r="I15" s="208"/>
      <c r="J15" s="208"/>
      <c r="K15" s="209"/>
      <c r="L15" s="209"/>
      <c r="M15" s="208"/>
      <c r="N15" s="348">
        <f ca="1">Material!N38</f>
        <v>0</v>
      </c>
      <c r="O15" s="348">
        <f ca="1">Material!N37</f>
        <v>0</v>
      </c>
      <c r="P15" s="336">
        <f ca="1">Material!N36</f>
        <v>0.15679999999999999</v>
      </c>
      <c r="Q15" s="91"/>
      <c r="R15" s="512"/>
      <c r="V15" s="681"/>
      <c r="AH15" s="512">
        <v>0.05</v>
      </c>
      <c r="AI15" s="59" t="s">
        <v>1048</v>
      </c>
    </row>
    <row r="16" spans="1:35" ht="18.899999999999999" customHeight="1" thickBot="1">
      <c r="A16" s="510">
        <v>19</v>
      </c>
      <c r="B16" s="192" t="s">
        <v>284</v>
      </c>
      <c r="C16" s="556"/>
      <c r="D16" s="557"/>
      <c r="E16" s="177"/>
      <c r="F16" s="211"/>
      <c r="G16" s="211"/>
      <c r="H16" s="212"/>
      <c r="I16" s="213"/>
      <c r="J16" s="213"/>
      <c r="K16" s="214"/>
      <c r="L16" s="214"/>
      <c r="M16" s="213"/>
      <c r="N16" s="215"/>
      <c r="O16" s="215"/>
      <c r="P16" s="215"/>
      <c r="Q16" s="91"/>
      <c r="R16" s="512"/>
      <c r="V16" s="681"/>
      <c r="AH16" s="512">
        <v>0.3</v>
      </c>
      <c r="AI16" s="59" t="s">
        <v>1049</v>
      </c>
    </row>
    <row r="17" spans="1:37" ht="18.899999999999999" customHeight="1">
      <c r="A17" s="510">
        <v>19</v>
      </c>
      <c r="B17" s="192" t="s">
        <v>283</v>
      </c>
      <c r="C17" s="763"/>
      <c r="D17" s="764"/>
      <c r="E17" s="177"/>
      <c r="F17" s="183" t="s">
        <v>19</v>
      </c>
      <c r="G17" s="184" t="s">
        <v>289</v>
      </c>
      <c r="H17" s="184"/>
      <c r="I17" s="185"/>
      <c r="J17" s="216"/>
      <c r="K17" s="186"/>
      <c r="L17" s="608"/>
      <c r="M17" s="216"/>
      <c r="N17" s="344">
        <f ca="1">'SBM-SEKOF-FWZ'!U36</f>
        <v>0</v>
      </c>
      <c r="O17" s="344">
        <f ca="1">'SBM-SEKOF-FWZ'!U35</f>
        <v>0</v>
      </c>
      <c r="P17" s="332">
        <v>0.53</v>
      </c>
      <c r="Q17" s="91"/>
      <c r="R17" s="512"/>
      <c r="V17" s="681"/>
      <c r="AH17" s="512"/>
      <c r="AI17" s="59" t="s">
        <v>1050</v>
      </c>
    </row>
    <row r="18" spans="1:37" ht="18.899999999999999" customHeight="1" thickBot="1">
      <c r="A18" s="510">
        <v>19</v>
      </c>
      <c r="B18" s="560" t="s">
        <v>324</v>
      </c>
      <c r="C18" s="765">
        <v>44501</v>
      </c>
      <c r="D18" s="766"/>
      <c r="E18" s="177"/>
      <c r="F18" s="221" t="s">
        <v>20</v>
      </c>
      <c r="G18" s="222" t="s">
        <v>374</v>
      </c>
      <c r="H18" s="218"/>
      <c r="I18" s="218" t="s">
        <v>372</v>
      </c>
      <c r="J18" s="219"/>
      <c r="K18" s="187"/>
      <c r="L18" s="606"/>
      <c r="M18" s="219"/>
      <c r="N18" s="349">
        <f ca="1">Material!W38</f>
        <v>0</v>
      </c>
      <c r="O18" s="349">
        <f ca="1">Material!W37</f>
        <v>0</v>
      </c>
      <c r="P18" s="337">
        <f ca="1">Material!W36 + L18</f>
        <v>1.3967992957121416</v>
      </c>
      <c r="Q18" s="91"/>
      <c r="R18" s="512"/>
      <c r="V18" s="681"/>
      <c r="AH18" s="512">
        <v>1.03</v>
      </c>
      <c r="AI18" s="59" t="s">
        <v>1051</v>
      </c>
    </row>
    <row r="19" spans="1:37" ht="18.899999999999999" customHeight="1" thickBot="1">
      <c r="A19" s="510">
        <v>19</v>
      </c>
      <c r="B19" s="102" t="s">
        <v>22</v>
      </c>
      <c r="C19" s="99"/>
      <c r="D19" s="103"/>
      <c r="E19" s="177"/>
      <c r="F19" s="253"/>
      <c r="G19" s="254"/>
      <c r="H19" s="207"/>
      <c r="I19" s="207" t="s">
        <v>373</v>
      </c>
      <c r="J19" s="208"/>
      <c r="K19" s="209"/>
      <c r="L19" s="607"/>
      <c r="M19" s="208"/>
      <c r="N19" s="348">
        <f ca="1">Fertigungskosten!W38</f>
        <v>0</v>
      </c>
      <c r="O19" s="348">
        <f ca="1">Fertigungskosten!W37</f>
        <v>0</v>
      </c>
      <c r="P19" s="336">
        <f ca="1">Fertigungskosten!W36 + L19</f>
        <v>0.56085059256731273</v>
      </c>
      <c r="Q19" s="91"/>
      <c r="R19" s="512"/>
      <c r="V19" s="681"/>
      <c r="AH19" s="512">
        <v>0.04</v>
      </c>
      <c r="AI19" s="512" t="s">
        <v>1052</v>
      </c>
      <c r="AJ19" s="512"/>
    </row>
    <row r="20" spans="1:37" ht="18.899999999999999" customHeight="1" thickBot="1">
      <c r="A20" s="510">
        <v>19</v>
      </c>
      <c r="B20" s="768"/>
      <c r="C20" s="769"/>
      <c r="D20" s="770"/>
      <c r="E20" s="177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512"/>
      <c r="V20" s="681"/>
      <c r="AH20" s="729">
        <f>SUM(AH12:AH19)</f>
        <v>2.0700000000000003</v>
      </c>
    </row>
    <row r="21" spans="1:37" ht="18.899999999999999" customHeight="1" thickBot="1">
      <c r="A21" s="510">
        <v>19</v>
      </c>
      <c r="B21" s="192" t="s">
        <v>375</v>
      </c>
      <c r="C21" s="752" t="s">
        <v>969</v>
      </c>
      <c r="D21" s="767"/>
      <c r="E21" s="177"/>
      <c r="F21" s="226"/>
      <c r="G21" s="211" t="s">
        <v>57</v>
      </c>
      <c r="H21" s="212"/>
      <c r="I21" s="227"/>
      <c r="J21" s="214"/>
      <c r="K21" s="214"/>
      <c r="L21" s="214" t="s">
        <v>936</v>
      </c>
      <c r="M21" s="228"/>
      <c r="N21" s="350">
        <f ca="1">SUM(N17:N19)+N13</f>
        <v>0</v>
      </c>
      <c r="O21" s="350">
        <f ca="1">SUM(O17:O19)+O13</f>
        <v>0</v>
      </c>
      <c r="P21" s="338">
        <f ca="1">SUM(P17:P19)+P13</f>
        <v>20.353266448885673</v>
      </c>
      <c r="Q21" s="91"/>
      <c r="R21" s="512"/>
      <c r="V21" s="681"/>
    </row>
    <row r="22" spans="1:37" ht="18.899999999999999" customHeight="1" thickBot="1">
      <c r="A22" s="510">
        <v>19</v>
      </c>
      <c r="B22" s="192" t="s">
        <v>281</v>
      </c>
      <c r="C22" s="752">
        <v>1443</v>
      </c>
      <c r="D22" s="767"/>
      <c r="E22" s="177"/>
      <c r="F22" s="91"/>
      <c r="G22" s="91"/>
      <c r="H22" s="91"/>
      <c r="I22" s="91"/>
      <c r="J22" s="91"/>
      <c r="K22" s="91"/>
      <c r="L22" s="91"/>
      <c r="M22" s="91"/>
      <c r="N22" s="651"/>
      <c r="O22" s="651"/>
      <c r="P22" s="651"/>
      <c r="Q22" s="91"/>
      <c r="R22" s="512"/>
      <c r="S22" s="512"/>
      <c r="V22" s="681"/>
      <c r="AH22" s="712" t="s">
        <v>1053</v>
      </c>
      <c r="AI22" s="712" t="s">
        <v>1051</v>
      </c>
      <c r="AJ22" s="712" t="s">
        <v>327</v>
      </c>
      <c r="AK22" s="712" t="s">
        <v>1054</v>
      </c>
    </row>
    <row r="23" spans="1:37" ht="18.899999999999999" customHeight="1">
      <c r="A23" s="510">
        <v>19</v>
      </c>
      <c r="B23" s="192" t="s">
        <v>323</v>
      </c>
      <c r="C23" s="752">
        <v>15</v>
      </c>
      <c r="D23" s="767"/>
      <c r="E23" s="177"/>
      <c r="F23" s="183" t="s">
        <v>21</v>
      </c>
      <c r="G23" s="184" t="s">
        <v>937</v>
      </c>
      <c r="H23" s="184"/>
      <c r="I23" s="185"/>
      <c r="J23" s="216"/>
      <c r="K23" s="186" t="s">
        <v>31</v>
      </c>
      <c r="L23" s="735"/>
      <c r="M23" s="736"/>
      <c r="N23" s="652" t="s">
        <v>372</v>
      </c>
      <c r="O23" s="652" t="s">
        <v>373</v>
      </c>
      <c r="P23" s="650">
        <f ca="1">P11*N24+P12*O24+(0.02-0.2+1.26+0.04-0.31)*0-AK23</f>
        <v>4.1547483606504354</v>
      </c>
      <c r="Q23" s="91"/>
      <c r="R23" s="512"/>
      <c r="V23" s="681"/>
      <c r="AH23" s="692">
        <f>0.02-0.2+1.26+0.04-0.31</f>
        <v>0.81</v>
      </c>
      <c r="AI23" s="692">
        <f>AH18*-1</f>
        <v>-1.03</v>
      </c>
      <c r="AJ23" s="692"/>
      <c r="AK23" s="692">
        <f>SUM(AH23:AJ23)-(AH20-AH23)</f>
        <v>-1.4800000000000002</v>
      </c>
    </row>
    <row r="24" spans="1:37" ht="18.899999999999999" customHeight="1" thickBot="1">
      <c r="A24" s="510">
        <v>19</v>
      </c>
      <c r="B24" s="224"/>
      <c r="C24" s="225"/>
      <c r="D24" s="757" t="s">
        <v>498</v>
      </c>
      <c r="E24" s="177"/>
      <c r="F24" s="233"/>
      <c r="G24" s="234" t="s">
        <v>390</v>
      </c>
      <c r="H24" s="235"/>
      <c r="I24" s="236"/>
      <c r="J24" s="236"/>
      <c r="K24" s="236"/>
      <c r="L24" s="236" t="s">
        <v>386</v>
      </c>
      <c r="M24" s="236"/>
      <c r="N24" s="676">
        <v>8.6999999999999994E-2</v>
      </c>
      <c r="O24" s="676">
        <v>0.22</v>
      </c>
      <c r="P24" s="339">
        <f ca="1">P21+P23</f>
        <v>24.508014809536107</v>
      </c>
      <c r="Q24" s="91"/>
      <c r="R24" s="512"/>
      <c r="V24" s="681"/>
      <c r="AI24" s="730"/>
    </row>
    <row r="25" spans="1:37" ht="18.899999999999999" customHeight="1" thickBot="1">
      <c r="A25" s="510"/>
      <c r="B25" s="229"/>
      <c r="C25" s="230"/>
      <c r="D25" s="758"/>
      <c r="E25" s="177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512"/>
      <c r="V25" s="681"/>
    </row>
    <row r="26" spans="1:37" ht="18.899999999999999" customHeight="1">
      <c r="A26" s="510">
        <v>19</v>
      </c>
      <c r="B26" s="231" t="s">
        <v>493</v>
      </c>
      <c r="C26" s="232" t="s">
        <v>45</v>
      </c>
      <c r="D26" s="759"/>
      <c r="E26" s="177"/>
      <c r="F26" s="183" t="s">
        <v>23</v>
      </c>
      <c r="G26" s="185" t="s">
        <v>776</v>
      </c>
      <c r="H26" s="185"/>
      <c r="I26" s="186"/>
      <c r="J26" s="186"/>
      <c r="K26" s="186" t="s">
        <v>31</v>
      </c>
      <c r="L26" s="735"/>
      <c r="M26" s="736"/>
      <c r="N26" s="344">
        <f ca="1">Material!AB38</f>
        <v>0</v>
      </c>
      <c r="O26" s="344">
        <f ca="1">Material!AB37</f>
        <v>0</v>
      </c>
      <c r="P26" s="332">
        <v>0.28000000000000003</v>
      </c>
      <c r="Q26" s="91"/>
      <c r="R26" s="512"/>
      <c r="V26" s="681"/>
    </row>
    <row r="27" spans="1:37" ht="18.899999999999999" customHeight="1">
      <c r="A27" s="510">
        <v>19</v>
      </c>
      <c r="B27" s="231" t="s">
        <v>661</v>
      </c>
      <c r="C27" s="232"/>
      <c r="D27" s="342"/>
      <c r="E27" s="177"/>
      <c r="F27" s="238" t="s">
        <v>24</v>
      </c>
      <c r="G27" s="218" t="s">
        <v>333</v>
      </c>
      <c r="H27" s="218"/>
      <c r="I27" s="187"/>
      <c r="J27" s="187"/>
      <c r="K27" s="187" t="s">
        <v>31</v>
      </c>
      <c r="L27" s="752"/>
      <c r="M27" s="760"/>
      <c r="N27" s="353"/>
      <c r="O27" s="353"/>
      <c r="P27" s="220"/>
      <c r="Q27" s="91"/>
      <c r="R27" s="512"/>
      <c r="S27" s="731" t="s">
        <v>1013</v>
      </c>
      <c r="T27" s="731"/>
      <c r="U27" s="731"/>
      <c r="V27" s="731"/>
      <c r="W27" s="731"/>
      <c r="X27" s="731"/>
      <c r="Y27" s="731"/>
      <c r="Z27" s="731"/>
      <c r="AA27" s="731"/>
      <c r="AB27" s="731"/>
      <c r="AC27" s="731"/>
      <c r="AE27" s="732" t="s">
        <v>1014</v>
      </c>
      <c r="AF27" s="733"/>
      <c r="AG27" s="734"/>
    </row>
    <row r="28" spans="1:37" ht="18.899999999999999" customHeight="1" thickBot="1">
      <c r="A28" s="510">
        <v>19</v>
      </c>
      <c r="B28" s="237" t="s">
        <v>662</v>
      </c>
      <c r="C28" s="232"/>
      <c r="D28" s="343"/>
      <c r="E28" s="177"/>
      <c r="F28" s="239" t="s">
        <v>54</v>
      </c>
      <c r="G28" s="240" t="s">
        <v>334</v>
      </c>
      <c r="H28" s="240"/>
      <c r="I28" s="241"/>
      <c r="J28" s="241"/>
      <c r="K28" s="242" t="s">
        <v>31</v>
      </c>
      <c r="L28" s="761"/>
      <c r="M28" s="762"/>
      <c r="N28" s="354"/>
      <c r="O28" s="354"/>
      <c r="P28" s="243"/>
      <c r="Q28" s="91"/>
      <c r="R28" s="687" t="s">
        <v>1015</v>
      </c>
      <c r="S28" s="688" t="s">
        <v>1016</v>
      </c>
      <c r="T28" s="689" t="s">
        <v>1017</v>
      </c>
      <c r="U28" s="689" t="s">
        <v>1018</v>
      </c>
      <c r="V28" s="689" t="s">
        <v>1019</v>
      </c>
      <c r="W28" s="689" t="s">
        <v>1020</v>
      </c>
      <c r="X28" s="688" t="s">
        <v>1021</v>
      </c>
      <c r="Y28" s="689" t="s">
        <v>1022</v>
      </c>
      <c r="Z28" s="689" t="s">
        <v>1023</v>
      </c>
      <c r="AA28" s="689" t="s">
        <v>1024</v>
      </c>
      <c r="AB28" s="689" t="s">
        <v>417</v>
      </c>
      <c r="AC28" s="689" t="s">
        <v>1025</v>
      </c>
      <c r="AE28" s="690" t="s">
        <v>1026</v>
      </c>
      <c r="AF28" s="690" t="s">
        <v>1027</v>
      </c>
      <c r="AG28" s="689" t="s">
        <v>417</v>
      </c>
      <c r="AH28" s="864">
        <v>45169</v>
      </c>
    </row>
    <row r="29" spans="1:37" ht="18.899999999999999" customHeight="1" thickBot="1">
      <c r="A29" s="510">
        <v>19</v>
      </c>
      <c r="B29" s="102" t="s">
        <v>25</v>
      </c>
      <c r="C29" s="99"/>
      <c r="D29" s="103"/>
      <c r="E29" s="177"/>
      <c r="F29" s="233"/>
      <c r="G29" s="234" t="s">
        <v>389</v>
      </c>
      <c r="H29" s="235"/>
      <c r="I29" s="236"/>
      <c r="J29" s="236"/>
      <c r="K29" s="236"/>
      <c r="L29" s="236" t="s">
        <v>938</v>
      </c>
      <c r="M29" s="236"/>
      <c r="N29" s="352">
        <f ca="1">SUM(N26:N28)+N24</f>
        <v>8.6999999999999994E-2</v>
      </c>
      <c r="O29" s="352">
        <f ca="1">SUM(O26:O28)+O24</f>
        <v>0.22</v>
      </c>
      <c r="P29" s="340">
        <f ca="1">SUM(P26:P28)+P24</f>
        <v>24.788014809536108</v>
      </c>
      <c r="Q29" s="91"/>
      <c r="R29" s="691">
        <v>16.32</v>
      </c>
      <c r="S29" s="692">
        <v>16.32</v>
      </c>
      <c r="T29" s="692">
        <v>16.54</v>
      </c>
      <c r="U29" s="692">
        <v>16.91</v>
      </c>
      <c r="V29" s="692">
        <f>17.24-0.17</f>
        <v>17.069999999999997</v>
      </c>
      <c r="W29" s="692">
        <v>16.510000000000002</v>
      </c>
      <c r="X29" s="692">
        <v>16.600000000000001</v>
      </c>
      <c r="Y29" s="692">
        <v>18.27</v>
      </c>
      <c r="Z29" s="692">
        <v>18.46</v>
      </c>
      <c r="AA29" s="692">
        <v>18.920000000000002</v>
      </c>
      <c r="AB29" s="692">
        <v>21.1</v>
      </c>
      <c r="AC29" s="692">
        <v>21.76</v>
      </c>
      <c r="AE29" s="692">
        <v>21.79</v>
      </c>
      <c r="AF29" s="692">
        <v>22.79</v>
      </c>
      <c r="AG29" s="692">
        <v>24.75</v>
      </c>
      <c r="AH29" s="59">
        <v>25.05</v>
      </c>
    </row>
    <row r="30" spans="1:37" ht="18.899999999999999" customHeight="1" thickBot="1">
      <c r="A30" s="510">
        <v>19</v>
      </c>
      <c r="B30" s="746"/>
      <c r="C30" s="747"/>
      <c r="D30" s="748"/>
      <c r="E30" s="177"/>
      <c r="F30" s="244"/>
      <c r="G30" s="245" t="s">
        <v>499</v>
      </c>
      <c r="H30" s="245"/>
      <c r="I30" s="246"/>
      <c r="J30" s="246"/>
      <c r="K30" s="246"/>
      <c r="L30" s="246"/>
      <c r="M30" s="246"/>
      <c r="N30" s="247"/>
      <c r="O30" s="247"/>
      <c r="P30" s="341" t="str">
        <f>IF(AND(OR(C27=0,D27=0),OR(C28=0,D28=0)),"",P29+(O29*D27)+(N29*D28))</f>
        <v/>
      </c>
      <c r="Q30" s="91"/>
      <c r="R30" s="693">
        <f ca="1">P29/R29-1</f>
        <v>0.51887345646667327</v>
      </c>
      <c r="S30" s="692">
        <f>S29-R29</f>
        <v>0</v>
      </c>
      <c r="T30" s="692">
        <f t="shared" ref="T30:AC30" si="0">T29-S29</f>
        <v>0.21999999999999886</v>
      </c>
      <c r="U30" s="692">
        <f t="shared" si="0"/>
        <v>0.37000000000000099</v>
      </c>
      <c r="V30" s="692">
        <f t="shared" si="0"/>
        <v>0.15999999999999659</v>
      </c>
      <c r="W30" s="694">
        <f t="shared" si="0"/>
        <v>-0.55999999999999517</v>
      </c>
      <c r="X30" s="692">
        <f t="shared" si="0"/>
        <v>8.9999999999999858E-2</v>
      </c>
      <c r="Y30" s="692">
        <f t="shared" si="0"/>
        <v>1.6699999999999982</v>
      </c>
      <c r="Z30" s="692">
        <f t="shared" si="0"/>
        <v>0.19000000000000128</v>
      </c>
      <c r="AA30" s="692">
        <f t="shared" si="0"/>
        <v>0.46000000000000085</v>
      </c>
      <c r="AB30" s="692">
        <f t="shared" si="0"/>
        <v>2.1799999999999997</v>
      </c>
      <c r="AC30" s="692">
        <f t="shared" si="0"/>
        <v>0.66000000000000014</v>
      </c>
      <c r="AE30" s="692">
        <f>AE29-AC29</f>
        <v>2.9999999999997584E-2</v>
      </c>
      <c r="AF30" s="692">
        <f t="shared" ref="AF30" si="1">AF29-AE29</f>
        <v>1</v>
      </c>
      <c r="AG30" s="695">
        <f t="shared" ref="AG30" si="2">AG29-AF29</f>
        <v>1.9600000000000009</v>
      </c>
    </row>
    <row r="31" spans="1:37" ht="18.899999999999999" customHeight="1" thickBot="1">
      <c r="A31" s="510">
        <v>19</v>
      </c>
      <c r="B31" s="749"/>
      <c r="C31" s="750"/>
      <c r="D31" s="751"/>
      <c r="E31" s="177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512"/>
      <c r="AG31" s="702"/>
    </row>
    <row r="32" spans="1:37" ht="18.899999999999999" customHeight="1">
      <c r="A32" s="510">
        <v>19</v>
      </c>
      <c r="B32" s="192" t="s">
        <v>26</v>
      </c>
      <c r="C32" s="744"/>
      <c r="D32" s="745"/>
      <c r="E32" s="177"/>
      <c r="F32" s="248"/>
      <c r="G32" s="184" t="s">
        <v>883</v>
      </c>
      <c r="H32" s="185"/>
      <c r="I32" s="249"/>
      <c r="J32" s="186"/>
      <c r="K32" s="186"/>
      <c r="L32" s="149"/>
      <c r="M32" s="250"/>
      <c r="N32" s="251"/>
      <c r="O32" s="251"/>
      <c r="P32" s="217"/>
      <c r="Q32" s="91"/>
      <c r="R32" s="512"/>
    </row>
    <row r="33" spans="1:20" ht="18.899999999999999" customHeight="1">
      <c r="A33" s="510">
        <v>19</v>
      </c>
      <c r="B33" s="192" t="s">
        <v>27</v>
      </c>
      <c r="C33" s="744"/>
      <c r="D33" s="745"/>
      <c r="E33" s="177"/>
      <c r="F33" s="238" t="s">
        <v>939</v>
      </c>
      <c r="G33" s="191" t="s">
        <v>30</v>
      </c>
      <c r="H33" s="222"/>
      <c r="I33" s="219"/>
      <c r="J33" s="223"/>
      <c r="K33" s="187" t="s">
        <v>31</v>
      </c>
      <c r="L33" s="752"/>
      <c r="M33" s="752"/>
      <c r="N33" s="353"/>
      <c r="O33" s="353"/>
      <c r="P33" s="220"/>
      <c r="Q33" s="91"/>
      <c r="R33" s="512"/>
      <c r="T33" s="59" t="s">
        <v>650</v>
      </c>
    </row>
    <row r="34" spans="1:20" ht="18.899999999999999" customHeight="1" thickBot="1">
      <c r="A34" s="510">
        <v>19</v>
      </c>
      <c r="B34" s="210" t="s">
        <v>28</v>
      </c>
      <c r="C34" s="744"/>
      <c r="D34" s="745"/>
      <c r="E34" s="177"/>
      <c r="F34" s="189" t="s">
        <v>312</v>
      </c>
      <c r="G34" s="191" t="s">
        <v>36</v>
      </c>
      <c r="H34" s="190"/>
      <c r="I34" s="609"/>
      <c r="J34" s="610"/>
      <c r="K34" s="611" t="s">
        <v>31</v>
      </c>
      <c r="L34" s="753"/>
      <c r="M34" s="753"/>
      <c r="N34" s="351">
        <f ca="1">'SBM-SEKOF-FWZ'!T36</f>
        <v>0</v>
      </c>
      <c r="O34" s="351">
        <f ca="1">'SBM-SEKOF-FWZ'!T35</f>
        <v>0</v>
      </c>
      <c r="P34" s="339">
        <f ca="1">'SBM-SEKOF-FWZ'!T34</f>
        <v>0</v>
      </c>
      <c r="Q34" s="91"/>
      <c r="R34" s="512"/>
    </row>
    <row r="35" spans="1:20" ht="18.899999999999999" customHeight="1" thickBot="1">
      <c r="A35" s="510">
        <v>19</v>
      </c>
      <c r="B35" s="192" t="s">
        <v>330</v>
      </c>
      <c r="C35" s="744" t="s">
        <v>970</v>
      </c>
      <c r="D35" s="745"/>
      <c r="E35" s="177"/>
      <c r="F35" s="617"/>
      <c r="G35" s="618" t="s">
        <v>941</v>
      </c>
      <c r="H35" s="619"/>
      <c r="I35" s="620"/>
      <c r="J35" s="620"/>
      <c r="K35" s="620"/>
      <c r="L35" s="620"/>
      <c r="M35" s="620"/>
      <c r="N35" s="616">
        <f ca="1">SUM(N33:N34)</f>
        <v>0</v>
      </c>
      <c r="O35" s="616">
        <f t="shared" ref="O35:P35" ca="1" si="3">SUM(O33:O34)</f>
        <v>0</v>
      </c>
      <c r="P35" s="621">
        <f t="shared" ca="1" si="3"/>
        <v>0</v>
      </c>
      <c r="Q35" s="91"/>
      <c r="R35" s="512"/>
    </row>
    <row r="36" spans="1:20" ht="18.899999999999999" customHeight="1" thickBot="1">
      <c r="A36" s="510">
        <v>19</v>
      </c>
      <c r="B36" s="252" t="s">
        <v>29</v>
      </c>
      <c r="C36" s="755"/>
      <c r="D36" s="756"/>
      <c r="E36" s="177"/>
      <c r="F36" s="612"/>
      <c r="G36" s="212" t="s">
        <v>940</v>
      </c>
      <c r="H36" s="211"/>
      <c r="I36" s="213"/>
      <c r="J36" s="613"/>
      <c r="K36" s="214"/>
      <c r="L36" s="754"/>
      <c r="M36" s="754"/>
      <c r="N36" s="614"/>
      <c r="O36" s="614"/>
      <c r="P36" s="615" t="str">
        <f>IF(AND(OR(C27=0,D27=0),OR(C28=0,D28=0)),"",P35+(O35*D27)+(N35*D28))</f>
        <v/>
      </c>
      <c r="Q36" s="91"/>
      <c r="R36" s="512"/>
    </row>
    <row r="37" spans="1:20" ht="12" customHeight="1" thickBot="1">
      <c r="A37" s="510">
        <v>20</v>
      </c>
      <c r="B37" s="101"/>
      <c r="C37" s="101"/>
      <c r="D37" s="101"/>
      <c r="E37" s="10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</row>
    <row r="38" spans="1:20" ht="22.5" customHeight="1">
      <c r="A38" s="507"/>
      <c r="B38" s="255" t="s">
        <v>448</v>
      </c>
      <c r="C38" s="737"/>
      <c r="D38" s="738"/>
      <c r="E38" s="738"/>
      <c r="F38" s="738"/>
      <c r="G38" s="738"/>
      <c r="H38" s="738"/>
      <c r="I38" s="738"/>
      <c r="J38" s="738"/>
      <c r="K38" s="738"/>
      <c r="L38" s="738"/>
      <c r="M38" s="738"/>
      <c r="N38" s="738"/>
      <c r="O38" s="738"/>
      <c r="P38" s="739"/>
      <c r="Q38" s="91"/>
    </row>
    <row r="39" spans="1:20" ht="22.5" customHeight="1">
      <c r="A39" s="507"/>
      <c r="B39" s="256"/>
      <c r="C39" s="740"/>
      <c r="D39" s="740"/>
      <c r="E39" s="740"/>
      <c r="F39" s="740"/>
      <c r="G39" s="740"/>
      <c r="H39" s="740"/>
      <c r="I39" s="740"/>
      <c r="J39" s="740"/>
      <c r="K39" s="740"/>
      <c r="L39" s="740"/>
      <c r="M39" s="740"/>
      <c r="N39" s="740"/>
      <c r="O39" s="740"/>
      <c r="P39" s="741"/>
      <c r="Q39" s="91"/>
    </row>
    <row r="40" spans="1:20" ht="22.5" customHeight="1">
      <c r="A40" s="507"/>
      <c r="B40" s="256"/>
      <c r="C40" s="740"/>
      <c r="D40" s="740"/>
      <c r="E40" s="740"/>
      <c r="F40" s="740"/>
      <c r="G40" s="740"/>
      <c r="H40" s="740"/>
      <c r="I40" s="740"/>
      <c r="J40" s="740"/>
      <c r="K40" s="740"/>
      <c r="L40" s="740"/>
      <c r="M40" s="740"/>
      <c r="N40" s="740"/>
      <c r="O40" s="740"/>
      <c r="P40" s="741"/>
      <c r="Q40" s="91"/>
    </row>
    <row r="41" spans="1:20" ht="22.5" customHeight="1" thickBot="1">
      <c r="A41" s="507"/>
      <c r="B41" s="257"/>
      <c r="C41" s="742"/>
      <c r="D41" s="742"/>
      <c r="E41" s="742"/>
      <c r="F41" s="742"/>
      <c r="G41" s="742"/>
      <c r="H41" s="742"/>
      <c r="I41" s="742"/>
      <c r="J41" s="742"/>
      <c r="K41" s="742"/>
      <c r="L41" s="742"/>
      <c r="M41" s="742"/>
      <c r="N41" s="742"/>
      <c r="O41" s="742"/>
      <c r="P41" s="743"/>
      <c r="Q41" s="91"/>
    </row>
    <row r="42" spans="1:20" ht="7.5" customHeight="1">
      <c r="A42" s="507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</row>
  </sheetData>
  <mergeCells count="36">
    <mergeCell ref="M5:P5"/>
    <mergeCell ref="M6:P6"/>
    <mergeCell ref="M7:P7"/>
    <mergeCell ref="M8:P8"/>
    <mergeCell ref="I5:K5"/>
    <mergeCell ref="I6:K6"/>
    <mergeCell ref="I7:K7"/>
    <mergeCell ref="I8:K8"/>
    <mergeCell ref="C5:E5"/>
    <mergeCell ref="C6:E6"/>
    <mergeCell ref="C8:E8"/>
    <mergeCell ref="C7:E7"/>
    <mergeCell ref="C9:D9"/>
    <mergeCell ref="L28:M28"/>
    <mergeCell ref="C17:D17"/>
    <mergeCell ref="C18:D18"/>
    <mergeCell ref="C21:D21"/>
    <mergeCell ref="C22:D22"/>
    <mergeCell ref="C23:D23"/>
    <mergeCell ref="B20:D20"/>
    <mergeCell ref="S27:AC27"/>
    <mergeCell ref="AE27:AG27"/>
    <mergeCell ref="L23:M23"/>
    <mergeCell ref="C38:P41"/>
    <mergeCell ref="C35:D35"/>
    <mergeCell ref="B30:D31"/>
    <mergeCell ref="C34:D34"/>
    <mergeCell ref="L33:M33"/>
    <mergeCell ref="L34:M34"/>
    <mergeCell ref="L36:M36"/>
    <mergeCell ref="C36:D36"/>
    <mergeCell ref="D24:D26"/>
    <mergeCell ref="C32:D32"/>
    <mergeCell ref="C33:D33"/>
    <mergeCell ref="L26:M26"/>
    <mergeCell ref="L27:M27"/>
  </mergeCells>
  <conditionalFormatting sqref="G27:L28">
    <cfRule type="expression" dxfId="46" priority="48" stopIfTrue="1">
      <formula>$C$35="FCA"</formula>
    </cfRule>
  </conditionalFormatting>
  <conditionalFormatting sqref="G27:M27">
    <cfRule type="expression" dxfId="45" priority="41" stopIfTrue="1">
      <formula>$C$35="DAP"</formula>
    </cfRule>
  </conditionalFormatting>
  <conditionalFormatting sqref="N11:N36">
    <cfRule type="expression" dxfId="44" priority="2">
      <formula>ISBLANK($C$28)</formula>
    </cfRule>
  </conditionalFormatting>
  <conditionalFormatting sqref="O11:O23">
    <cfRule type="expression" dxfId="43" priority="4">
      <formula>ISBLANK($C$27)</formula>
    </cfRule>
  </conditionalFormatting>
  <conditionalFormatting sqref="O24">
    <cfRule type="expression" dxfId="42" priority="1">
      <formula>ISBLANK($C$28)</formula>
    </cfRule>
  </conditionalFormatting>
  <conditionalFormatting sqref="O25:O36">
    <cfRule type="expression" dxfId="41" priority="7">
      <formula>ISBLANK($C$27)</formula>
    </cfRule>
  </conditionalFormatting>
  <conditionalFormatting sqref="P11:P36">
    <cfRule type="expression" dxfId="40" priority="5">
      <formula>ISBLANK($C$26)</formula>
    </cfRule>
  </conditionalFormatting>
  <dataValidations count="5">
    <dataValidation type="list" allowBlank="1" showInputMessage="1" showErrorMessage="1" sqref="C26:C28" xr:uid="{00000000-0002-0000-0000-000000000000}">
      <formula1>listZulässigeAngebotswährungen</formula1>
    </dataValidation>
    <dataValidation type="list" allowBlank="1" showInputMessage="1" showErrorMessage="1" sqref="C35" xr:uid="{00000000-0002-0000-0000-000001000000}">
      <formula1>"FCA, DAP"</formula1>
    </dataValidation>
    <dataValidation type="textLength" operator="equal" allowBlank="1" showInputMessage="1" showErrorMessage="1" promptTitle="BMW Lieferanten-Nr." prompt="Bitte geben Sie Ihre Lieferanten-Nr. immer mit 8 Stellen ein._x000a_z.B. 10452710._x000a_Verwenden Sie keinen Bindestrich bzw. Leerzeichen hierzu._x000a_" sqref="I6:K6" xr:uid="{00000000-0002-0000-0000-000002000000}">
      <formula1>8</formula1>
    </dataValidation>
    <dataValidation type="textLength" operator="equal" allowBlank="1" showInputMessage="1" showErrorMessage="1" promptTitle="BMW Sachnummer" prompt="Bitte geben Sie die BMW Sachnummer. immer mit 7 Stellen ein._x000a_z.B. 7654321._x000a_" sqref="I8:K8" xr:uid="{00000000-0002-0000-0000-000003000000}">
      <formula1>7</formula1>
    </dataValidation>
    <dataValidation type="textLength" allowBlank="1" showInputMessage="1" showErrorMessage="1" promptTitle="BMW Projekt-Nr." prompt="Bitte geben Sie immer nur ein Fahrzeug- bzw. Motorenprojekt an._x000a_z.B. F45, B30, etc." sqref="I7:K7" xr:uid="{00000000-0002-0000-0000-000004000000}">
      <formula1>3</formula1>
      <formula2>7</formula2>
    </dataValidation>
  </dataValidations>
  <hyperlinks>
    <hyperlink ref="O2" r:id="rId1" xr:uid="{00000000-0004-0000-0000-000000000000}"/>
    <hyperlink ref="C6" r:id="rId2" xr:uid="{556572B5-625F-4A1A-B409-F56E687DF5D4}"/>
  </hyperlinks>
  <pageMargins left="0.39370078740157483" right="0.39370078740157483" top="0.39370078740157483" bottom="0.39370078740157483" header="0.31496062992125984" footer="0.31496062992125984"/>
  <pageSetup paperSize="9" scale="69" orientation="landscape" r:id="rId3"/>
  <ignoredErrors>
    <ignoredError sqref="N26:O26 P35:P36 N34:P34 N35:O35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99Temp"/>
  <dimension ref="A1"/>
  <sheetViews>
    <sheetView workbookViewId="0">
      <selection activeCell="K37" sqref="K37"/>
    </sheetView>
  </sheetViews>
  <sheetFormatPr baseColWidth="10" defaultColWidth="11.44140625" defaultRowHeight="14.4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02Mat">
    <tabColor theme="6" tint="0.39997558519241921"/>
    <pageSetUpPr fitToPage="1"/>
  </sheetPr>
  <dimension ref="B1:AI42"/>
  <sheetViews>
    <sheetView showGridLines="0" showZeros="0" topLeftCell="A11" zoomScale="85" zoomScaleNormal="85" zoomScalePageLayoutView="70" workbookViewId="0">
      <selection activeCell="I18" sqref="I18"/>
    </sheetView>
  </sheetViews>
  <sheetFormatPr baseColWidth="10" defaultColWidth="11.44140625" defaultRowHeight="13.8" outlineLevelCol="1"/>
  <cols>
    <col min="1" max="1" width="1.44140625" style="91" customWidth="1"/>
    <col min="2" max="2" width="5.6640625" style="91" customWidth="1"/>
    <col min="3" max="3" width="25.6640625" style="91" customWidth="1"/>
    <col min="4" max="4" width="20.6640625" style="91" customWidth="1"/>
    <col min="5" max="6" width="10.6640625" style="91" customWidth="1"/>
    <col min="7" max="7" width="8.33203125" style="91" customWidth="1"/>
    <col min="8" max="8" width="5.6640625" style="91" customWidth="1"/>
    <col min="9" max="9" width="10.6640625" style="91" customWidth="1"/>
    <col min="10" max="10" width="5.6640625" style="91" customWidth="1"/>
    <col min="11" max="14" width="10.6640625" style="91" customWidth="1"/>
    <col min="15" max="15" width="8.33203125" style="91" customWidth="1"/>
    <col min="16" max="19" width="10.6640625" style="91" customWidth="1"/>
    <col min="20" max="20" width="5.6640625" style="91" customWidth="1"/>
    <col min="21" max="21" width="10.6640625" style="91" customWidth="1"/>
    <col min="22" max="22" width="5.6640625" style="91" customWidth="1"/>
    <col min="23" max="23" width="10.6640625" style="91" customWidth="1"/>
    <col min="24" max="24" width="2.6640625" style="91" customWidth="1"/>
    <col min="25" max="25" width="24.5546875" style="283" customWidth="1" outlineLevel="1"/>
    <col min="26" max="28" width="10.6640625" style="91" customWidth="1" outlineLevel="1"/>
    <col min="29" max="29" width="1.5546875" style="571" customWidth="1"/>
    <col min="30" max="33" width="10.6640625" style="91" customWidth="1"/>
    <col min="34" max="16384" width="11.44140625" style="91"/>
  </cols>
  <sheetData>
    <row r="1" spans="2:35" s="285" customFormat="1" ht="7.5" customHeight="1" thickBot="1">
      <c r="B1" s="285">
        <v>5</v>
      </c>
      <c r="C1" s="285">
        <v>12</v>
      </c>
      <c r="D1" s="285">
        <v>20</v>
      </c>
      <c r="E1" s="285">
        <v>10</v>
      </c>
      <c r="F1" s="285">
        <v>10</v>
      </c>
      <c r="G1" s="285">
        <v>7.5</v>
      </c>
      <c r="H1" s="285">
        <v>5</v>
      </c>
      <c r="I1" s="285">
        <v>10</v>
      </c>
      <c r="J1" s="285">
        <v>5</v>
      </c>
      <c r="K1" s="285">
        <v>10</v>
      </c>
      <c r="L1" s="285">
        <v>10</v>
      </c>
      <c r="M1" s="285">
        <v>10</v>
      </c>
      <c r="N1" s="285">
        <v>10</v>
      </c>
      <c r="O1" s="285">
        <v>7.5</v>
      </c>
      <c r="P1" s="285">
        <v>10</v>
      </c>
      <c r="Q1" s="285">
        <v>10</v>
      </c>
      <c r="R1" s="286">
        <v>10</v>
      </c>
      <c r="S1" s="286">
        <v>10</v>
      </c>
      <c r="T1" s="286">
        <v>5</v>
      </c>
      <c r="U1" s="286">
        <v>10</v>
      </c>
      <c r="V1" s="285">
        <v>5</v>
      </c>
      <c r="W1" s="285">
        <v>10</v>
      </c>
      <c r="X1" s="285">
        <v>2</v>
      </c>
      <c r="Y1" s="513">
        <v>10</v>
      </c>
      <c r="Z1" s="285">
        <v>10</v>
      </c>
      <c r="AA1" s="285">
        <v>10</v>
      </c>
      <c r="AB1" s="285">
        <v>10</v>
      </c>
      <c r="AC1" s="570">
        <v>2</v>
      </c>
      <c r="AD1" s="285">
        <v>10</v>
      </c>
      <c r="AE1" s="285">
        <v>10</v>
      </c>
      <c r="AF1" s="285">
        <v>10</v>
      </c>
      <c r="AG1" s="285">
        <v>10</v>
      </c>
      <c r="AI1" s="285">
        <f>SUM(D1:W1)</f>
        <v>185</v>
      </c>
    </row>
    <row r="2" spans="2:35" s="59" customFormat="1" ht="26.25" customHeight="1">
      <c r="B2" s="55" t="s">
        <v>1</v>
      </c>
      <c r="C2" s="60"/>
      <c r="D2" s="58"/>
      <c r="E2" s="56"/>
      <c r="F2" s="56"/>
      <c r="G2" s="55" t="s">
        <v>2</v>
      </c>
      <c r="H2" s="56"/>
      <c r="I2" s="56"/>
      <c r="J2" s="56"/>
      <c r="K2" s="56"/>
      <c r="L2" s="56"/>
      <c r="M2" s="56"/>
      <c r="N2" s="56"/>
      <c r="O2" s="56"/>
      <c r="P2" s="56"/>
      <c r="Q2" s="57" t="s">
        <v>651</v>
      </c>
      <c r="R2" s="54"/>
      <c r="S2" s="64"/>
      <c r="U2" s="654" t="s">
        <v>951</v>
      </c>
      <c r="V2" s="56"/>
      <c r="W2" s="66"/>
      <c r="Y2" s="282"/>
      <c r="AC2" s="570"/>
    </row>
    <row r="3" spans="2:35" s="59" customFormat="1" ht="17.399999999999999">
      <c r="B3" s="67" t="s">
        <v>500</v>
      </c>
      <c r="D3" s="68"/>
      <c r="E3" s="69"/>
      <c r="F3" s="69"/>
      <c r="G3" s="70" t="s">
        <v>945</v>
      </c>
      <c r="H3" s="71"/>
      <c r="I3" s="71"/>
      <c r="J3" s="69"/>
      <c r="K3" s="69"/>
      <c r="L3" s="69"/>
      <c r="M3" s="71"/>
      <c r="N3" s="71"/>
      <c r="O3" s="71"/>
      <c r="P3" s="71"/>
      <c r="Q3" s="72" t="s">
        <v>963</v>
      </c>
      <c r="R3" s="65"/>
      <c r="S3" s="71"/>
      <c r="T3" s="71"/>
      <c r="U3" s="71"/>
      <c r="V3" s="71"/>
      <c r="W3" s="73"/>
      <c r="Y3" s="282"/>
      <c r="AC3" s="570"/>
    </row>
    <row r="4" spans="2:35" s="59" customFormat="1" ht="14.4" thickBot="1">
      <c r="B4" s="785" t="str">
        <f>+Zusammenfassung!B4</f>
        <v>QAF Version 8.4_01_01 © BMW AG</v>
      </c>
      <c r="C4" s="786"/>
      <c r="D4" s="327"/>
      <c r="E4" s="74"/>
      <c r="F4" s="74"/>
      <c r="G4" s="799" t="s">
        <v>944</v>
      </c>
      <c r="H4" s="800"/>
      <c r="I4" s="800"/>
      <c r="J4" s="74"/>
      <c r="K4" s="74"/>
      <c r="L4" s="74"/>
      <c r="M4" s="75"/>
      <c r="N4" s="75"/>
      <c r="O4" s="75"/>
      <c r="P4" s="75"/>
      <c r="R4" s="75"/>
      <c r="S4" s="75"/>
      <c r="T4" s="75"/>
      <c r="U4" s="75"/>
      <c r="V4" s="75"/>
      <c r="W4" s="76"/>
      <c r="Y4" s="282"/>
      <c r="AC4" s="570"/>
    </row>
    <row r="5" spans="2:35" s="59" customFormat="1" ht="17.100000000000001" customHeight="1">
      <c r="B5" s="77" t="s">
        <v>53</v>
      </c>
      <c r="C5" s="61"/>
      <c r="D5" s="787" t="str">
        <f>Zusammenfassung!$C5</f>
        <v>Henry Sebold</v>
      </c>
      <c r="E5" s="788"/>
      <c r="F5" s="789"/>
      <c r="G5" s="77" t="s">
        <v>280</v>
      </c>
      <c r="H5" s="78"/>
      <c r="I5" s="78"/>
      <c r="J5" s="787" t="str">
        <f>Zusammenfassung!$I5</f>
        <v>HIB Trim Part Solutions GmbH</v>
      </c>
      <c r="K5" s="788"/>
      <c r="L5" s="788"/>
      <c r="M5" s="788"/>
      <c r="N5" s="788"/>
      <c r="O5" s="788"/>
      <c r="P5" s="79" t="s">
        <v>6</v>
      </c>
      <c r="Q5" s="80"/>
      <c r="R5" s="80"/>
      <c r="S5" s="801" t="str">
        <f>Zusammenfassung!$M5</f>
        <v>FS_SA3_LL_Aluminuim_Mesh</v>
      </c>
      <c r="T5" s="788"/>
      <c r="U5" s="802"/>
      <c r="V5" s="788"/>
      <c r="W5" s="789"/>
      <c r="Y5" s="282"/>
      <c r="AC5" s="570"/>
    </row>
    <row r="6" spans="2:35" s="59" customFormat="1" ht="17.100000000000001" customHeight="1">
      <c r="B6" s="81" t="s">
        <v>7</v>
      </c>
      <c r="C6" s="62"/>
      <c r="D6" s="790" t="str">
        <f>HYPERLINK(CONCATENATE("mailto:",Zusammenfassung!C6),Zusammenfassung!C6)</f>
        <v>henry.sebold@nbhx-trim.com</v>
      </c>
      <c r="E6" s="791"/>
      <c r="F6" s="792"/>
      <c r="G6" s="82" t="s">
        <v>8</v>
      </c>
      <c r="H6" s="83"/>
      <c r="I6" s="83"/>
      <c r="J6" s="793">
        <f>Zusammenfassung!$I6</f>
        <v>14537310</v>
      </c>
      <c r="K6" s="794"/>
      <c r="L6" s="794"/>
      <c r="M6" s="794"/>
      <c r="N6" s="794"/>
      <c r="O6" s="794"/>
      <c r="P6" s="84" t="s">
        <v>9</v>
      </c>
      <c r="Q6" s="85"/>
      <c r="R6" s="85"/>
      <c r="S6" s="793">
        <f>Zusammenfassung!$M6</f>
        <v>0</v>
      </c>
      <c r="T6" s="794"/>
      <c r="U6" s="794"/>
      <c r="V6" s="794"/>
      <c r="W6" s="795"/>
      <c r="Y6" s="282"/>
      <c r="AC6" s="570"/>
    </row>
    <row r="7" spans="2:35" s="59" customFormat="1" ht="17.100000000000001" customHeight="1">
      <c r="B7" s="81" t="s">
        <v>10</v>
      </c>
      <c r="C7" s="62"/>
      <c r="D7" s="793" t="str">
        <f>Zusammenfassung!$C7</f>
        <v>+49 7251 722 427</v>
      </c>
      <c r="E7" s="794"/>
      <c r="F7" s="795"/>
      <c r="G7" s="82" t="s">
        <v>11</v>
      </c>
      <c r="H7" s="83"/>
      <c r="I7" s="83"/>
      <c r="J7" s="793" t="str">
        <f>Zusammenfassung!$I7</f>
        <v>U06ff.</v>
      </c>
      <c r="K7" s="794"/>
      <c r="L7" s="794"/>
      <c r="M7" s="794"/>
      <c r="N7" s="794"/>
      <c r="O7" s="794"/>
      <c r="P7" s="84" t="s">
        <v>12</v>
      </c>
      <c r="Q7" s="85"/>
      <c r="R7" s="85"/>
      <c r="S7" s="793">
        <f>Zusammenfassung!$M7</f>
        <v>0</v>
      </c>
      <c r="T7" s="794"/>
      <c r="U7" s="794"/>
      <c r="V7" s="794"/>
      <c r="W7" s="795"/>
      <c r="Y7" s="284"/>
      <c r="AC7" s="570"/>
    </row>
    <row r="8" spans="2:35" s="59" customFormat="1" ht="17.100000000000001" customHeight="1" thickBot="1">
      <c r="B8" s="86" t="s">
        <v>13</v>
      </c>
      <c r="C8" s="63"/>
      <c r="D8" s="796">
        <f>Zusammenfassung!$C8</f>
        <v>45169</v>
      </c>
      <c r="E8" s="797"/>
      <c r="F8" s="798"/>
      <c r="G8" s="87" t="s">
        <v>14</v>
      </c>
      <c r="H8" s="88"/>
      <c r="I8" s="88"/>
      <c r="J8" s="803">
        <f>Zusammenfassung!$I8</f>
        <v>9638715</v>
      </c>
      <c r="K8" s="797"/>
      <c r="L8" s="797"/>
      <c r="M8" s="797"/>
      <c r="N8" s="797"/>
      <c r="O8" s="797"/>
      <c r="P8" s="89" t="s">
        <v>15</v>
      </c>
      <c r="Q8" s="90"/>
      <c r="R8" s="90"/>
      <c r="S8" s="803">
        <f>Zusammenfassung!$M8</f>
        <v>0</v>
      </c>
      <c r="T8" s="797"/>
      <c r="U8" s="797"/>
      <c r="V8" s="797"/>
      <c r="W8" s="798"/>
      <c r="Y8" s="282"/>
      <c r="AC8" s="570"/>
    </row>
    <row r="9" spans="2:35" ht="12" customHeight="1" thickBot="1"/>
    <row r="10" spans="2:35" s="101" customFormat="1" ht="15" customHeight="1" thickBot="1">
      <c r="B10" s="92"/>
      <c r="C10" s="93"/>
      <c r="D10" s="93" t="s">
        <v>310</v>
      </c>
      <c r="E10" s="93"/>
      <c r="F10" s="94"/>
      <c r="G10" s="95"/>
      <c r="H10" s="93" t="s">
        <v>345</v>
      </c>
      <c r="I10" s="96"/>
      <c r="J10" s="97"/>
      <c r="K10" s="98"/>
      <c r="L10" s="98"/>
      <c r="M10" s="98"/>
      <c r="N10" s="98"/>
      <c r="O10" s="93"/>
      <c r="P10" s="93" t="s">
        <v>37</v>
      </c>
      <c r="Q10" s="98"/>
      <c r="R10" s="96"/>
      <c r="S10" s="96"/>
      <c r="T10" s="96"/>
      <c r="U10" s="96"/>
      <c r="V10" s="99"/>
      <c r="W10" s="100"/>
      <c r="Y10" s="288" t="s">
        <v>344</v>
      </c>
      <c r="Z10" s="292"/>
      <c r="AA10" s="292"/>
      <c r="AB10" s="293"/>
      <c r="AC10" s="572"/>
      <c r="AD10" s="102" t="s">
        <v>37</v>
      </c>
      <c r="AE10" s="99"/>
      <c r="AF10" s="99"/>
      <c r="AG10" s="103"/>
    </row>
    <row r="11" spans="2:35" s="117" customFormat="1" ht="145.5" customHeight="1" thickBot="1">
      <c r="B11" s="264" t="s">
        <v>418</v>
      </c>
      <c r="C11" s="166" t="s">
        <v>49</v>
      </c>
      <c r="D11" s="104" t="s">
        <v>397</v>
      </c>
      <c r="E11" s="105" t="s">
        <v>51</v>
      </c>
      <c r="F11" s="106" t="s">
        <v>50</v>
      </c>
      <c r="G11" s="265" t="s">
        <v>291</v>
      </c>
      <c r="H11" s="107" t="s">
        <v>842</v>
      </c>
      <c r="I11" s="663" t="s">
        <v>955</v>
      </c>
      <c r="J11" s="108" t="s">
        <v>841</v>
      </c>
      <c r="K11" s="109" t="s">
        <v>39</v>
      </c>
      <c r="L11" s="110" t="s">
        <v>341</v>
      </c>
      <c r="M11" s="104" t="s">
        <v>342</v>
      </c>
      <c r="N11" s="111" t="s">
        <v>343</v>
      </c>
      <c r="O11" s="112" t="s">
        <v>52</v>
      </c>
      <c r="P11" s="113" t="s">
        <v>387</v>
      </c>
      <c r="Q11" s="265" t="s">
        <v>318</v>
      </c>
      <c r="R11" s="104" t="s">
        <v>321</v>
      </c>
      <c r="S11" s="297" t="s">
        <v>956</v>
      </c>
      <c r="T11" s="115" t="s">
        <v>395</v>
      </c>
      <c r="U11" s="113" t="s">
        <v>319</v>
      </c>
      <c r="V11" s="116" t="s">
        <v>371</v>
      </c>
      <c r="W11" s="114" t="s">
        <v>405</v>
      </c>
      <c r="Y11" s="299" t="s">
        <v>854</v>
      </c>
      <c r="Z11" s="298" t="s">
        <v>853</v>
      </c>
      <c r="AA11" s="298" t="s">
        <v>856</v>
      </c>
      <c r="AB11" s="297" t="s">
        <v>857</v>
      </c>
      <c r="AC11" s="572"/>
      <c r="AD11" s="265" t="s">
        <v>338</v>
      </c>
      <c r="AE11" s="104" t="s">
        <v>339</v>
      </c>
      <c r="AF11" s="104" t="s">
        <v>340</v>
      </c>
      <c r="AG11" s="114" t="s">
        <v>322</v>
      </c>
    </row>
    <row r="12" spans="2:35" s="118" customFormat="1" ht="25.5" hidden="1" customHeight="1" thickBot="1">
      <c r="B12" s="637"/>
      <c r="C12" s="638"/>
      <c r="D12" s="639"/>
      <c r="E12" s="638"/>
      <c r="F12" s="638"/>
      <c r="G12" s="640"/>
      <c r="H12" s="641"/>
      <c r="I12" s="642"/>
      <c r="J12" s="643"/>
      <c r="K12" s="644"/>
      <c r="L12" s="644"/>
      <c r="M12" s="644"/>
      <c r="N12" s="644"/>
      <c r="O12" s="645"/>
      <c r="P12" s="631">
        <f t="shared" ref="P12:P33" si="0">IF(G12=(Prämie),I12*K12,IF(G12=(Rohstoff_Risiko),(I12*K12+L12+M12+N12)*(1+O12)+(O12*AA12*Z12),(I12*K12+L12+M12+N12)*(1+O12)+(O12*AA12)))</f>
        <v>0</v>
      </c>
      <c r="Q12" s="646"/>
      <c r="R12" s="647"/>
      <c r="S12" s="642"/>
      <c r="T12" s="648"/>
      <c r="U12" s="622">
        <f t="shared" ref="U12:U33" si="1">IF(OR(G12=(Kaufteil), G12=(Rohstoff_Risiko)), P12*T12, IF(G12=(Prämie),P12*R12*T12,(P12*Q12-S12)*T12))</f>
        <v>0</v>
      </c>
      <c r="V12" s="649"/>
      <c r="W12" s="622">
        <f t="shared" ref="W12:W33" si="2">IF(G12=(Prämie), 0, U12*(1/(1-V12)-1))</f>
        <v>0</v>
      </c>
      <c r="Y12" s="500"/>
      <c r="Z12" s="501"/>
      <c r="AA12" s="494"/>
      <c r="AB12" s="372">
        <f>IF(AND(NOT(AC12="x"),Y12&lt;&gt;""), Z12*AA12, 0)</f>
        <v>0</v>
      </c>
      <c r="AC12" s="571" t="str">
        <f t="shared" ref="AC12:AC33" si="3">IF(Y12&lt;&gt;"",VLOOKUP(Y12,(Rohstoffe_Materialblatt),3,FALSE),"0")</f>
        <v>0</v>
      </c>
      <c r="AD12" s="505">
        <f>IF($G12="Prämie (kg)", 0, IF($G12="Stück (Kaufteil)",$L12*$T12, $L12*$Q12*$T12))</f>
        <v>0</v>
      </c>
      <c r="AE12" s="506">
        <f>IF($G12="Prämie (kg)", 0, IF($G12="Stück (Kaufteil)",$M12*$T12, $M12*$Q12*$T12))</f>
        <v>0</v>
      </c>
      <c r="AF12" s="506">
        <f>IF($G12="Prämie (kg)", 0, IF($G12="Stück (Kaufteil)",$N12*$T12, $N12*$Q12*$T12))</f>
        <v>0</v>
      </c>
      <c r="AG12" s="502">
        <f>IF($G12="Prämie (kg)", 0, IF($G12="Stück (Kaufteil)", (I12*K12+L12+M12+N12)*O12*T12, (I12*K12+L12+M12+N12)*O12*Q12*T12))</f>
        <v>0</v>
      </c>
    </row>
    <row r="13" spans="2:35" s="120" customFormat="1" ht="26.1" customHeight="1">
      <c r="B13" s="623"/>
      <c r="C13" s="624"/>
      <c r="D13" s="624"/>
      <c r="E13" s="625"/>
      <c r="F13" s="626"/>
      <c r="G13" s="627"/>
      <c r="H13" s="628"/>
      <c r="I13" s="626"/>
      <c r="J13" s="629"/>
      <c r="K13" s="630"/>
      <c r="L13" s="630"/>
      <c r="M13" s="630"/>
      <c r="N13" s="630"/>
      <c r="O13" s="677">
        <v>0.04</v>
      </c>
      <c r="P13" s="631">
        <f t="shared" si="0"/>
        <v>0</v>
      </c>
      <c r="Q13" s="632"/>
      <c r="R13" s="633"/>
      <c r="S13" s="634"/>
      <c r="T13" s="635"/>
      <c r="U13" s="372">
        <f t="shared" si="1"/>
        <v>0</v>
      </c>
      <c r="V13" s="636"/>
      <c r="W13" s="372">
        <f t="shared" si="2"/>
        <v>0</v>
      </c>
      <c r="X13" s="539"/>
      <c r="Y13" s="540"/>
      <c r="Z13" s="561"/>
      <c r="AA13" s="383"/>
      <c r="AB13" s="372">
        <f t="shared" ref="AB13:AB33" si="4">IF(AND(NOT(AC13="x"),Y13&lt;&gt;""), Z13*AA13, 0)</f>
        <v>0</v>
      </c>
      <c r="AC13" s="571" t="str">
        <f t="shared" si="3"/>
        <v>0</v>
      </c>
      <c r="AD13" s="392">
        <f t="shared" ref="AD13:AD33" si="5">IF($G13=(Prämie), 0, IF($G13=(Kaufteil),$L13*$T13,IF($G13=(Rohstoff_Risiko),$L13*$T13, $L13*$Q13*$T13)))</f>
        <v>0</v>
      </c>
      <c r="AE13" s="393">
        <f t="shared" ref="AE13:AE33" si="6">IF($G13=(Prämie), 0, IF($G13=(Kaufteil),$M13*$T13,IF($G13=(Rohstoff_Risiko),$M13*$T13,$M13*$Q13*$T13)))</f>
        <v>0</v>
      </c>
      <c r="AF13" s="393">
        <f t="shared" ref="AF13:AF33" si="7">IF($G13=(Prämie), 0, IF($G13=(Kaufteil),$N13*$T13, IF($G13=(Rohstoff_Risiko),$N13*$T13, $N13*$Q13*$T13)))</f>
        <v>0</v>
      </c>
      <c r="AG13" s="371">
        <f t="shared" ref="AG13:AG33" si="8">IF($G13=(Prämie), 0, IF($G13=(Kaufteil), (I13*K13+L13+M13+N13)*O13*T13,IF($G13=(Rohstoff_Risiko), (I13*K13+L13+M13+N13)*O13*T13,(I13*K13+L13+M13+N13)*O13*Q13*T13)))</f>
        <v>0</v>
      </c>
    </row>
    <row r="14" spans="2:35" s="120" customFormat="1" ht="26.1" customHeight="1">
      <c r="B14" s="361"/>
      <c r="C14" s="362"/>
      <c r="D14" s="362" t="s">
        <v>975</v>
      </c>
      <c r="E14" s="363"/>
      <c r="F14" s="366"/>
      <c r="G14" s="364" t="s">
        <v>366</v>
      </c>
      <c r="H14" s="365" t="s">
        <v>45</v>
      </c>
      <c r="I14" s="366">
        <f>3.9816-1.3749</f>
        <v>2.6067</v>
      </c>
      <c r="J14" s="367" t="s">
        <v>45</v>
      </c>
      <c r="K14" s="368">
        <v>1</v>
      </c>
      <c r="L14" s="368"/>
      <c r="M14" s="368"/>
      <c r="N14" s="368"/>
      <c r="O14" s="369">
        <f>$O$13</f>
        <v>0.04</v>
      </c>
      <c r="P14" s="631">
        <f t="shared" si="0"/>
        <v>2.7778012000000003</v>
      </c>
      <c r="Q14" s="375">
        <v>9.2999999999999999E-2</v>
      </c>
      <c r="R14" s="376"/>
      <c r="S14" s="377"/>
      <c r="T14" s="378">
        <v>1</v>
      </c>
      <c r="U14" s="372">
        <f t="shared" si="1"/>
        <v>0.25833551160000001</v>
      </c>
      <c r="V14" s="379">
        <v>0.14000000000000001</v>
      </c>
      <c r="W14" s="372">
        <f t="shared" si="2"/>
        <v>4.2054618167441882E-2</v>
      </c>
      <c r="Y14" s="382" t="s">
        <v>741</v>
      </c>
      <c r="Z14" s="561">
        <f>Q14*0.7</f>
        <v>6.5099999999999991E-2</v>
      </c>
      <c r="AA14" s="383">
        <v>1.67083</v>
      </c>
      <c r="AB14" s="372">
        <f>Z14*AA14</f>
        <v>0.10877103299999999</v>
      </c>
      <c r="AC14" s="571" t="str">
        <f t="shared" si="3"/>
        <v>x</v>
      </c>
      <c r="AD14" s="385">
        <f t="shared" si="5"/>
        <v>0</v>
      </c>
      <c r="AE14" s="386">
        <f t="shared" si="6"/>
        <v>0</v>
      </c>
      <c r="AF14" s="386">
        <f t="shared" si="7"/>
        <v>0</v>
      </c>
      <c r="AG14" s="384">
        <f t="shared" si="8"/>
        <v>9.6969239999999991E-3</v>
      </c>
    </row>
    <row r="15" spans="2:35" s="120" customFormat="1" ht="26.1" customHeight="1">
      <c r="B15" s="361"/>
      <c r="C15" s="362" t="s">
        <v>1007</v>
      </c>
      <c r="D15" s="362" t="s">
        <v>1009</v>
      </c>
      <c r="E15" s="363"/>
      <c r="F15" s="366"/>
      <c r="G15" s="364" t="s">
        <v>335</v>
      </c>
      <c r="H15" s="365" t="s">
        <v>45</v>
      </c>
      <c r="I15" s="366">
        <f>2.8*1.1+(6.67*1.13/12)</f>
        <v>3.7080916666666668</v>
      </c>
      <c r="J15" s="367" t="s">
        <v>45</v>
      </c>
      <c r="K15" s="368">
        <v>1</v>
      </c>
      <c r="L15" s="368"/>
      <c r="M15" s="368"/>
      <c r="N15" s="368">
        <v>0.15679999999999999</v>
      </c>
      <c r="O15" s="369">
        <f t="shared" ref="O15:O20" si="9">$O$13</f>
        <v>0.04</v>
      </c>
      <c r="P15" s="631">
        <f t="shared" si="0"/>
        <v>4.0194873333333341</v>
      </c>
      <c r="Q15" s="375"/>
      <c r="R15" s="376"/>
      <c r="S15" s="377"/>
      <c r="T15" s="378">
        <v>1</v>
      </c>
      <c r="U15" s="372">
        <f t="shared" si="1"/>
        <v>4.0194873333333341</v>
      </c>
      <c r="V15" s="714">
        <f>12%*0+22.9%</f>
        <v>0.22899999999999998</v>
      </c>
      <c r="W15" s="372">
        <f t="shared" si="2"/>
        <v>1.1938555114569827</v>
      </c>
      <c r="Y15" s="382"/>
      <c r="Z15" s="561"/>
      <c r="AA15" s="383"/>
      <c r="AB15" s="372">
        <f t="shared" si="4"/>
        <v>0</v>
      </c>
      <c r="AC15" s="571" t="str">
        <f t="shared" si="3"/>
        <v>0</v>
      </c>
      <c r="AD15" s="385">
        <f t="shared" si="5"/>
        <v>0</v>
      </c>
      <c r="AE15" s="386">
        <f t="shared" si="6"/>
        <v>0</v>
      </c>
      <c r="AF15" s="386">
        <f t="shared" si="7"/>
        <v>0.15679999999999999</v>
      </c>
      <c r="AG15" s="384">
        <f t="shared" si="8"/>
        <v>0.15459566666666669</v>
      </c>
    </row>
    <row r="16" spans="2:35" s="120" customFormat="1" ht="26.1" customHeight="1">
      <c r="B16" s="361"/>
      <c r="C16" s="362"/>
      <c r="D16" s="362" t="s">
        <v>1028</v>
      </c>
      <c r="E16" s="363"/>
      <c r="F16" s="715"/>
      <c r="G16" s="364" t="s">
        <v>456</v>
      </c>
      <c r="H16" s="365" t="s">
        <v>45</v>
      </c>
      <c r="I16" s="366">
        <v>2.75</v>
      </c>
      <c r="J16" s="367" t="s">
        <v>45</v>
      </c>
      <c r="K16" s="368">
        <v>1</v>
      </c>
      <c r="L16" s="368"/>
      <c r="M16" s="368"/>
      <c r="N16" s="368"/>
      <c r="O16" s="369">
        <f>$O$13</f>
        <v>0.04</v>
      </c>
      <c r="P16" s="631">
        <f t="shared" ref="P16" si="10">IF(G16=(Prämie),I16*K16,IF(G16=(Rohstoff_Risiko),(I16*K16+L16+M16+N16)*(1+O16)+(O16*AA16*Z16),(I16*K16+L16+M16+N16)*(1+O16)+(O16*AA16)))</f>
        <v>2.8600000000000003</v>
      </c>
      <c r="Q16" s="716">
        <v>5.6481481481481473E-2</v>
      </c>
      <c r="R16" s="376"/>
      <c r="S16" s="377"/>
      <c r="T16" s="378">
        <v>1</v>
      </c>
      <c r="U16" s="372">
        <v>0.17776950000000002</v>
      </c>
      <c r="V16" s="714">
        <f>12%*0+22.9%</f>
        <v>0.22899999999999998</v>
      </c>
      <c r="W16" s="372">
        <f t="shared" ref="W16" si="11">IF(G16=(Prämie), 0, U16*(1/(1-V16)-1))</f>
        <v>5.2800538910505852E-2</v>
      </c>
      <c r="Y16" s="382"/>
      <c r="Z16" s="561"/>
      <c r="AA16" s="383"/>
      <c r="AB16" s="372"/>
      <c r="AC16" s="571"/>
      <c r="AD16" s="385"/>
      <c r="AE16" s="386"/>
      <c r="AF16" s="386"/>
      <c r="AG16" s="384"/>
    </row>
    <row r="17" spans="2:33" s="120" customFormat="1" ht="26.1" customHeight="1">
      <c r="B17" s="361"/>
      <c r="C17" s="362"/>
      <c r="D17" s="362" t="s">
        <v>992</v>
      </c>
      <c r="E17" s="363"/>
      <c r="F17" s="366"/>
      <c r="G17" s="364" t="s">
        <v>335</v>
      </c>
      <c r="H17" s="365" t="s">
        <v>45</v>
      </c>
      <c r="I17" s="366">
        <v>2.8</v>
      </c>
      <c r="J17" s="367" t="s">
        <v>45</v>
      </c>
      <c r="K17" s="368">
        <v>1</v>
      </c>
      <c r="L17" s="368"/>
      <c r="M17" s="368"/>
      <c r="N17" s="368"/>
      <c r="O17" s="369">
        <f t="shared" si="9"/>
        <v>0.04</v>
      </c>
      <c r="P17" s="631">
        <f t="shared" si="0"/>
        <v>2.9119999999999999</v>
      </c>
      <c r="Q17" s="375"/>
      <c r="R17" s="376"/>
      <c r="S17" s="377"/>
      <c r="T17" s="378">
        <v>1</v>
      </c>
      <c r="U17" s="372">
        <f t="shared" si="1"/>
        <v>2.9119999999999999</v>
      </c>
      <c r="V17" s="379">
        <v>0.02</v>
      </c>
      <c r="W17" s="372">
        <f t="shared" si="2"/>
        <v>5.942857142857149E-2</v>
      </c>
      <c r="Y17" s="382"/>
      <c r="Z17" s="561"/>
      <c r="AA17" s="383"/>
      <c r="AB17" s="372">
        <f t="shared" si="4"/>
        <v>0</v>
      </c>
      <c r="AC17" s="571" t="str">
        <f t="shared" si="3"/>
        <v>0</v>
      </c>
      <c r="AD17" s="385">
        <f t="shared" si="5"/>
        <v>0</v>
      </c>
      <c r="AE17" s="386">
        <f t="shared" si="6"/>
        <v>0</v>
      </c>
      <c r="AF17" s="386">
        <f t="shared" si="7"/>
        <v>0</v>
      </c>
      <c r="AG17" s="384">
        <f t="shared" si="8"/>
        <v>0.11199999999999999</v>
      </c>
    </row>
    <row r="18" spans="2:33" s="120" customFormat="1" ht="26.1" customHeight="1">
      <c r="B18" s="361"/>
      <c r="C18" s="362"/>
      <c r="D18" s="362" t="s">
        <v>993</v>
      </c>
      <c r="E18" s="363"/>
      <c r="F18" s="366"/>
      <c r="G18" s="364" t="s">
        <v>335</v>
      </c>
      <c r="H18" s="628" t="s">
        <v>45</v>
      </c>
      <c r="I18" s="717">
        <f>(0.94+0.11)*0+1.09+0.16</f>
        <v>1.25</v>
      </c>
      <c r="J18" s="629" t="s">
        <v>45</v>
      </c>
      <c r="K18" s="630">
        <v>1</v>
      </c>
      <c r="L18" s="630"/>
      <c r="M18" s="630">
        <v>3.6749999999999998E-2</v>
      </c>
      <c r="N18" s="630"/>
      <c r="O18" s="369">
        <f t="shared" si="9"/>
        <v>0.04</v>
      </c>
      <c r="P18" s="631">
        <f t="shared" si="0"/>
        <v>1.3382200000000002</v>
      </c>
      <c r="Q18" s="375"/>
      <c r="R18" s="378"/>
      <c r="S18" s="377"/>
      <c r="T18" s="378">
        <v>1</v>
      </c>
      <c r="U18" s="372">
        <f t="shared" si="1"/>
        <v>1.3382200000000002</v>
      </c>
      <c r="V18" s="379">
        <v>0.02</v>
      </c>
      <c r="W18" s="372">
        <f t="shared" si="2"/>
        <v>2.7310612244897992E-2</v>
      </c>
      <c r="Y18" s="382"/>
      <c r="Z18" s="562"/>
      <c r="AA18" s="383"/>
      <c r="AB18" s="372">
        <f t="shared" si="4"/>
        <v>0</v>
      </c>
      <c r="AC18" s="571" t="str">
        <f t="shared" si="3"/>
        <v>0</v>
      </c>
      <c r="AD18" s="385">
        <f t="shared" si="5"/>
        <v>0</v>
      </c>
      <c r="AE18" s="386">
        <f t="shared" si="6"/>
        <v>3.6749999999999998E-2</v>
      </c>
      <c r="AF18" s="386">
        <f t="shared" si="7"/>
        <v>0</v>
      </c>
      <c r="AG18" s="384">
        <f t="shared" si="8"/>
        <v>5.1470000000000002E-2</v>
      </c>
    </row>
    <row r="19" spans="2:33" s="120" customFormat="1" ht="26.1" customHeight="1">
      <c r="B19" s="361"/>
      <c r="C19" s="362"/>
      <c r="D19" s="362" t="s">
        <v>991</v>
      </c>
      <c r="E19" s="363"/>
      <c r="F19" s="366"/>
      <c r="G19" s="364" t="s">
        <v>366</v>
      </c>
      <c r="H19" s="365" t="s">
        <v>45</v>
      </c>
      <c r="I19" s="366">
        <v>2.72</v>
      </c>
      <c r="J19" s="367" t="s">
        <v>45</v>
      </c>
      <c r="K19" s="368">
        <v>1</v>
      </c>
      <c r="L19" s="368"/>
      <c r="M19" s="368"/>
      <c r="N19" s="368"/>
      <c r="O19" s="369">
        <f t="shared" si="9"/>
        <v>0.04</v>
      </c>
      <c r="P19" s="631">
        <f t="shared" si="0"/>
        <v>2.8956332000000002</v>
      </c>
      <c r="Q19" s="375">
        <v>0.10299999999999999</v>
      </c>
      <c r="R19" s="378"/>
      <c r="S19" s="377"/>
      <c r="T19" s="378">
        <v>1</v>
      </c>
      <c r="U19" s="372">
        <f t="shared" si="1"/>
        <v>0.29825021960000003</v>
      </c>
      <c r="V19" s="714">
        <f>2%*0+4%</f>
        <v>0.04</v>
      </c>
      <c r="W19" s="372">
        <f t="shared" si="2"/>
        <v>1.2427092483333357E-2</v>
      </c>
      <c r="Y19" s="382" t="s">
        <v>741</v>
      </c>
      <c r="Z19" s="561">
        <f>Q19</f>
        <v>0.10299999999999999</v>
      </c>
      <c r="AA19" s="383">
        <v>1.67083</v>
      </c>
      <c r="AB19" s="372">
        <f>Z19*AA19</f>
        <v>0.17209548999999999</v>
      </c>
      <c r="AC19" s="571" t="str">
        <f t="shared" si="3"/>
        <v>x</v>
      </c>
      <c r="AD19" s="385">
        <f t="shared" si="5"/>
        <v>0</v>
      </c>
      <c r="AE19" s="386">
        <f t="shared" si="6"/>
        <v>0</v>
      </c>
      <c r="AF19" s="386">
        <f t="shared" si="7"/>
        <v>0</v>
      </c>
      <c r="AG19" s="384">
        <f t="shared" si="8"/>
        <v>1.12064E-2</v>
      </c>
    </row>
    <row r="20" spans="2:33" s="120" customFormat="1" ht="26.1" customHeight="1">
      <c r="B20" s="361"/>
      <c r="C20" s="362"/>
      <c r="D20" s="370" t="s">
        <v>971</v>
      </c>
      <c r="E20" s="363"/>
      <c r="F20" s="363"/>
      <c r="G20" s="364" t="s">
        <v>335</v>
      </c>
      <c r="H20" s="365" t="s">
        <v>45</v>
      </c>
      <c r="I20" s="366">
        <v>0.02</v>
      </c>
      <c r="J20" s="367" t="s">
        <v>45</v>
      </c>
      <c r="K20" s="368">
        <v>1</v>
      </c>
      <c r="L20" s="368"/>
      <c r="M20" s="368"/>
      <c r="N20" s="368"/>
      <c r="O20" s="369">
        <f t="shared" si="9"/>
        <v>0.04</v>
      </c>
      <c r="P20" s="631">
        <f t="shared" si="0"/>
        <v>2.0800000000000003E-2</v>
      </c>
      <c r="Q20" s="375"/>
      <c r="R20" s="378"/>
      <c r="S20" s="377"/>
      <c r="T20" s="378">
        <v>1</v>
      </c>
      <c r="U20" s="372">
        <f t="shared" si="1"/>
        <v>2.0800000000000003E-2</v>
      </c>
      <c r="V20" s="379">
        <v>0.02</v>
      </c>
      <c r="W20" s="372">
        <f t="shared" si="2"/>
        <v>4.244897959183679E-4</v>
      </c>
      <c r="Y20" s="382"/>
      <c r="Z20" s="562"/>
      <c r="AA20" s="383"/>
      <c r="AB20" s="372">
        <f t="shared" si="4"/>
        <v>0</v>
      </c>
      <c r="AC20" s="571" t="str">
        <f t="shared" si="3"/>
        <v>0</v>
      </c>
      <c r="AD20" s="385">
        <f t="shared" si="5"/>
        <v>0</v>
      </c>
      <c r="AE20" s="386">
        <f t="shared" si="6"/>
        <v>0</v>
      </c>
      <c r="AF20" s="386">
        <f t="shared" si="7"/>
        <v>0</v>
      </c>
      <c r="AG20" s="384">
        <f t="shared" si="8"/>
        <v>8.0000000000000004E-4</v>
      </c>
    </row>
    <row r="21" spans="2:33" s="120" customFormat="1" ht="26.1" customHeight="1">
      <c r="B21" s="361"/>
      <c r="C21" s="362"/>
      <c r="D21" s="362" t="s">
        <v>1008</v>
      </c>
      <c r="E21" s="363"/>
      <c r="F21" s="363"/>
      <c r="G21" s="364" t="s">
        <v>335</v>
      </c>
      <c r="H21" s="365" t="s">
        <v>45</v>
      </c>
      <c r="I21" s="366">
        <v>1.4999999999999999E-2</v>
      </c>
      <c r="J21" s="367" t="s">
        <v>45</v>
      </c>
      <c r="K21" s="368">
        <v>1</v>
      </c>
      <c r="L21" s="368"/>
      <c r="M21" s="368"/>
      <c r="N21" s="368"/>
      <c r="O21" s="369">
        <v>0.04</v>
      </c>
      <c r="P21" s="631">
        <f t="shared" si="0"/>
        <v>1.5599999999999999E-2</v>
      </c>
      <c r="Q21" s="375"/>
      <c r="R21" s="376"/>
      <c r="S21" s="377"/>
      <c r="T21" s="378">
        <v>5</v>
      </c>
      <c r="U21" s="372">
        <f t="shared" si="1"/>
        <v>7.8E-2</v>
      </c>
      <c r="V21" s="379">
        <v>0.02</v>
      </c>
      <c r="W21" s="372">
        <f t="shared" si="2"/>
        <v>1.5918367346938794E-3</v>
      </c>
      <c r="Y21" s="382"/>
      <c r="Z21" s="561"/>
      <c r="AA21" s="383"/>
      <c r="AB21" s="372">
        <f t="shared" si="4"/>
        <v>0</v>
      </c>
      <c r="AC21" s="571" t="str">
        <f t="shared" si="3"/>
        <v>0</v>
      </c>
      <c r="AD21" s="385">
        <f t="shared" si="5"/>
        <v>0</v>
      </c>
      <c r="AE21" s="386">
        <f t="shared" si="6"/>
        <v>0</v>
      </c>
      <c r="AF21" s="386">
        <f t="shared" si="7"/>
        <v>0</v>
      </c>
      <c r="AG21" s="384">
        <f t="shared" si="8"/>
        <v>2.9999999999999996E-3</v>
      </c>
    </row>
    <row r="22" spans="2:33" s="120" customFormat="1" ht="26.1" customHeight="1">
      <c r="B22" s="361"/>
      <c r="C22" s="362"/>
      <c r="D22" s="362"/>
      <c r="E22" s="363"/>
      <c r="F22" s="363"/>
      <c r="G22" s="364"/>
      <c r="H22" s="365"/>
      <c r="I22" s="366"/>
      <c r="J22" s="367"/>
      <c r="K22" s="368"/>
      <c r="L22" s="368"/>
      <c r="M22" s="368"/>
      <c r="N22" s="368"/>
      <c r="O22" s="369"/>
      <c r="P22" s="631">
        <f t="shared" si="0"/>
        <v>0</v>
      </c>
      <c r="Q22" s="375"/>
      <c r="R22" s="376"/>
      <c r="S22" s="377"/>
      <c r="T22" s="378"/>
      <c r="U22" s="372">
        <f t="shared" si="1"/>
        <v>0</v>
      </c>
      <c r="V22" s="379"/>
      <c r="W22" s="372">
        <f t="shared" si="2"/>
        <v>0</v>
      </c>
      <c r="Y22" s="382"/>
      <c r="Z22" s="561"/>
      <c r="AA22" s="383"/>
      <c r="AB22" s="372">
        <f t="shared" si="4"/>
        <v>0</v>
      </c>
      <c r="AC22" s="571" t="str">
        <f t="shared" si="3"/>
        <v>0</v>
      </c>
      <c r="AD22" s="385">
        <f t="shared" si="5"/>
        <v>0</v>
      </c>
      <c r="AE22" s="386">
        <f t="shared" si="6"/>
        <v>0</v>
      </c>
      <c r="AF22" s="386">
        <f t="shared" si="7"/>
        <v>0</v>
      </c>
      <c r="AG22" s="384">
        <f t="shared" si="8"/>
        <v>0</v>
      </c>
    </row>
    <row r="23" spans="2:33" s="120" customFormat="1" ht="26.1" customHeight="1">
      <c r="B23" s="361"/>
      <c r="C23" s="362"/>
      <c r="D23" s="362" t="s">
        <v>1029</v>
      </c>
      <c r="E23" s="363"/>
      <c r="F23" s="363"/>
      <c r="G23" s="364" t="s">
        <v>335</v>
      </c>
      <c r="H23" s="365" t="s">
        <v>45</v>
      </c>
      <c r="I23" s="366">
        <v>7.6200000000000004E-2</v>
      </c>
      <c r="J23" s="367" t="s">
        <v>45</v>
      </c>
      <c r="K23" s="368">
        <v>1</v>
      </c>
      <c r="L23" s="368"/>
      <c r="M23" s="368"/>
      <c r="N23" s="368"/>
      <c r="O23" s="369">
        <v>0.04</v>
      </c>
      <c r="P23" s="631">
        <f t="shared" ref="P23" si="12">IF(G23=(Prämie),I23*K23,IF(G23=(Rohstoff_Risiko),(I23*K23+L23+M23+N23)*(1+O23)+(O23*AA23*Z23),(I23*K23+L23+M23+N23)*(1+O23)+(O23*AA23)))</f>
        <v>7.9248000000000013E-2</v>
      </c>
      <c r="Q23" s="375"/>
      <c r="R23" s="378"/>
      <c r="S23" s="377"/>
      <c r="T23" s="378">
        <v>1</v>
      </c>
      <c r="U23" s="372">
        <f t="shared" ref="U23" si="13">IF(OR(G23=(Kaufteil), G23=(Rohstoff_Risiko)), P23*T23, IF(G23=(Prämie),P23*R23*T23,(P23*Q23-S23)*T23))</f>
        <v>7.9248000000000013E-2</v>
      </c>
      <c r="V23" s="379">
        <v>0.02</v>
      </c>
      <c r="W23" s="372">
        <f t="shared" ref="W23" si="14">IF(G23=(Prämie), 0, U23*(1/(1-V23)-1))</f>
        <v>1.6173061224489817E-3</v>
      </c>
      <c r="Y23" s="382"/>
      <c r="Z23" s="561"/>
      <c r="AA23" s="383"/>
      <c r="AB23" s="372">
        <f t="shared" si="4"/>
        <v>0</v>
      </c>
      <c r="AC23" s="571" t="str">
        <f t="shared" si="3"/>
        <v>0</v>
      </c>
      <c r="AD23" s="385">
        <f t="shared" si="5"/>
        <v>0</v>
      </c>
      <c r="AE23" s="386">
        <f t="shared" si="6"/>
        <v>0</v>
      </c>
      <c r="AF23" s="386">
        <f t="shared" si="7"/>
        <v>0</v>
      </c>
      <c r="AG23" s="384">
        <f t="shared" si="8"/>
        <v>3.0480000000000004E-3</v>
      </c>
    </row>
    <row r="24" spans="2:33" s="120" customFormat="1" ht="26.1" customHeight="1">
      <c r="B24" s="361"/>
      <c r="C24" s="362"/>
      <c r="D24" s="362" t="s">
        <v>1030</v>
      </c>
      <c r="E24" s="363"/>
      <c r="F24" s="363"/>
      <c r="G24" s="364" t="s">
        <v>335</v>
      </c>
      <c r="H24" s="365" t="s">
        <v>45</v>
      </c>
      <c r="I24" s="366">
        <v>4.1529999999999997E-2</v>
      </c>
      <c r="J24" s="367" t="s">
        <v>45</v>
      </c>
      <c r="K24" s="368">
        <v>1</v>
      </c>
      <c r="L24" s="368"/>
      <c r="M24" s="368"/>
      <c r="N24" s="368"/>
      <c r="O24" s="369">
        <v>0.04</v>
      </c>
      <c r="P24" s="631">
        <f t="shared" ref="P24" si="15">IF(G24=(Prämie),I24*K24,IF(G24=(Rohstoff_Risiko),(I24*K24+L24+M24+N24)*(1+O24)+(O24*AA24*Z24),(I24*K24+L24+M24+N24)*(1+O24)+(O24*AA24)))</f>
        <v>4.3191199999999999E-2</v>
      </c>
      <c r="Q24" s="375"/>
      <c r="R24" s="378"/>
      <c r="S24" s="377"/>
      <c r="T24" s="378">
        <v>6</v>
      </c>
      <c r="U24" s="372">
        <f t="shared" ref="U24" si="16">IF(OR(G24=(Kaufteil), G24=(Rohstoff_Risiko)), P24*T24, IF(G24=(Prämie),P24*R24*T24,(P24*Q24-S24)*T24))</f>
        <v>0.25914720000000002</v>
      </c>
      <c r="V24" s="379">
        <v>0.02</v>
      </c>
      <c r="W24" s="372">
        <f t="shared" ref="W24" si="17">IF(G24=(Prämie), 0, U24*(1/(1-V24)-1))</f>
        <v>5.2887183673469449E-3</v>
      </c>
      <c r="Y24" s="382"/>
      <c r="Z24" s="561"/>
      <c r="AA24" s="383"/>
      <c r="AB24" s="372">
        <f t="shared" si="4"/>
        <v>0</v>
      </c>
      <c r="AC24" s="571" t="str">
        <f t="shared" si="3"/>
        <v>0</v>
      </c>
      <c r="AD24" s="385">
        <f t="shared" si="5"/>
        <v>0</v>
      </c>
      <c r="AE24" s="386">
        <f t="shared" si="6"/>
        <v>0</v>
      </c>
      <c r="AF24" s="386">
        <f t="shared" si="7"/>
        <v>0</v>
      </c>
      <c r="AG24" s="384">
        <f t="shared" si="8"/>
        <v>9.967199999999999E-3</v>
      </c>
    </row>
    <row r="25" spans="2:33" s="120" customFormat="1" ht="26.1" customHeight="1">
      <c r="B25" s="361"/>
      <c r="C25" s="362"/>
      <c r="D25" s="362"/>
      <c r="E25" s="363"/>
      <c r="F25" s="363"/>
      <c r="G25" s="364"/>
      <c r="H25" s="365"/>
      <c r="I25" s="366"/>
      <c r="J25" s="367"/>
      <c r="K25" s="368"/>
      <c r="L25" s="368"/>
      <c r="M25" s="368"/>
      <c r="N25" s="368"/>
      <c r="O25" s="369"/>
      <c r="P25" s="631">
        <f t="shared" si="0"/>
        <v>0</v>
      </c>
      <c r="Q25" s="375"/>
      <c r="R25" s="376"/>
      <c r="S25" s="377"/>
      <c r="T25" s="378"/>
      <c r="U25" s="372">
        <f t="shared" si="1"/>
        <v>0</v>
      </c>
      <c r="V25" s="379"/>
      <c r="W25" s="372">
        <f t="shared" si="2"/>
        <v>0</v>
      </c>
      <c r="Y25" s="382"/>
      <c r="Z25" s="561"/>
      <c r="AA25" s="383"/>
      <c r="AB25" s="372">
        <f t="shared" si="4"/>
        <v>0</v>
      </c>
      <c r="AC25" s="571" t="str">
        <f t="shared" si="3"/>
        <v>0</v>
      </c>
      <c r="AD25" s="385">
        <f t="shared" si="5"/>
        <v>0</v>
      </c>
      <c r="AE25" s="386">
        <f t="shared" si="6"/>
        <v>0</v>
      </c>
      <c r="AF25" s="386">
        <f t="shared" si="7"/>
        <v>0</v>
      </c>
      <c r="AG25" s="384">
        <f t="shared" si="8"/>
        <v>0</v>
      </c>
    </row>
    <row r="26" spans="2:33" s="120" customFormat="1" ht="26.1" customHeight="1">
      <c r="B26" s="361"/>
      <c r="C26" s="362"/>
      <c r="D26" s="362"/>
      <c r="E26" s="363"/>
      <c r="F26" s="363"/>
      <c r="G26" s="364"/>
      <c r="H26" s="365"/>
      <c r="I26" s="366"/>
      <c r="J26" s="367"/>
      <c r="K26" s="368"/>
      <c r="L26" s="368"/>
      <c r="M26" s="368"/>
      <c r="N26" s="368"/>
      <c r="O26" s="369"/>
      <c r="P26" s="631">
        <f t="shared" si="0"/>
        <v>0</v>
      </c>
      <c r="Q26" s="375"/>
      <c r="R26" s="376"/>
      <c r="S26" s="377"/>
      <c r="T26" s="378"/>
      <c r="U26" s="372">
        <f t="shared" si="1"/>
        <v>0</v>
      </c>
      <c r="V26" s="379"/>
      <c r="W26" s="372">
        <f t="shared" si="2"/>
        <v>0</v>
      </c>
      <c r="Y26" s="382"/>
      <c r="Z26" s="561"/>
      <c r="AA26" s="383"/>
      <c r="AB26" s="372">
        <f t="shared" si="4"/>
        <v>0</v>
      </c>
      <c r="AC26" s="571" t="str">
        <f t="shared" si="3"/>
        <v>0</v>
      </c>
      <c r="AD26" s="385">
        <f t="shared" si="5"/>
        <v>0</v>
      </c>
      <c r="AE26" s="386">
        <f t="shared" si="6"/>
        <v>0</v>
      </c>
      <c r="AF26" s="386">
        <f t="shared" si="7"/>
        <v>0</v>
      </c>
      <c r="AG26" s="384">
        <f t="shared" si="8"/>
        <v>0</v>
      </c>
    </row>
    <row r="27" spans="2:33" s="120" customFormat="1" ht="25.5" customHeight="1">
      <c r="B27" s="361"/>
      <c r="C27" s="362"/>
      <c r="D27" s="362"/>
      <c r="E27" s="363"/>
      <c r="F27" s="363"/>
      <c r="G27" s="364"/>
      <c r="H27" s="365"/>
      <c r="I27" s="366"/>
      <c r="J27" s="367"/>
      <c r="K27" s="368"/>
      <c r="L27" s="368"/>
      <c r="M27" s="368"/>
      <c r="N27" s="368"/>
      <c r="O27" s="369"/>
      <c r="P27" s="631">
        <f t="shared" si="0"/>
        <v>0</v>
      </c>
      <c r="Q27" s="375"/>
      <c r="R27" s="376"/>
      <c r="S27" s="377"/>
      <c r="T27" s="378"/>
      <c r="U27" s="372">
        <f t="shared" si="1"/>
        <v>0</v>
      </c>
      <c r="V27" s="379"/>
      <c r="W27" s="372">
        <f t="shared" si="2"/>
        <v>0</v>
      </c>
      <c r="Y27" s="382"/>
      <c r="Z27" s="561"/>
      <c r="AA27" s="383"/>
      <c r="AB27" s="372">
        <f t="shared" si="4"/>
        <v>0</v>
      </c>
      <c r="AC27" s="571" t="str">
        <f t="shared" si="3"/>
        <v>0</v>
      </c>
      <c r="AD27" s="385">
        <f t="shared" si="5"/>
        <v>0</v>
      </c>
      <c r="AE27" s="386">
        <f t="shared" si="6"/>
        <v>0</v>
      </c>
      <c r="AF27" s="386">
        <f t="shared" si="7"/>
        <v>0</v>
      </c>
      <c r="AG27" s="384">
        <f t="shared" si="8"/>
        <v>0</v>
      </c>
    </row>
    <row r="28" spans="2:33" s="120" customFormat="1" ht="26.1" customHeight="1">
      <c r="B28" s="361"/>
      <c r="C28" s="362"/>
      <c r="D28" s="362"/>
      <c r="E28" s="363"/>
      <c r="F28" s="363"/>
      <c r="G28" s="364"/>
      <c r="H28" s="365"/>
      <c r="I28" s="366"/>
      <c r="J28" s="367"/>
      <c r="K28" s="368"/>
      <c r="L28" s="368"/>
      <c r="M28" s="368"/>
      <c r="N28" s="368"/>
      <c r="O28" s="369"/>
      <c r="P28" s="631">
        <f t="shared" si="0"/>
        <v>0</v>
      </c>
      <c r="Q28" s="378"/>
      <c r="R28" s="378"/>
      <c r="S28" s="377"/>
      <c r="T28" s="378"/>
      <c r="U28" s="372">
        <f t="shared" si="1"/>
        <v>0</v>
      </c>
      <c r="V28" s="379"/>
      <c r="W28" s="372">
        <f t="shared" si="2"/>
        <v>0</v>
      </c>
      <c r="Y28" s="382"/>
      <c r="Z28" s="562"/>
      <c r="AA28" s="383"/>
      <c r="AB28" s="372">
        <f t="shared" si="4"/>
        <v>0</v>
      </c>
      <c r="AC28" s="571" t="str">
        <f t="shared" si="3"/>
        <v>0</v>
      </c>
      <c r="AD28" s="385">
        <f t="shared" si="5"/>
        <v>0</v>
      </c>
      <c r="AE28" s="386">
        <f t="shared" si="6"/>
        <v>0</v>
      </c>
      <c r="AF28" s="386">
        <f t="shared" si="7"/>
        <v>0</v>
      </c>
      <c r="AG28" s="384">
        <f t="shared" si="8"/>
        <v>0</v>
      </c>
    </row>
    <row r="29" spans="2:33" s="120" customFormat="1" ht="25.5" customHeight="1">
      <c r="B29" s="361"/>
      <c r="C29" s="362"/>
      <c r="D29" s="362"/>
      <c r="E29" s="363"/>
      <c r="F29" s="363"/>
      <c r="G29" s="364"/>
      <c r="H29" s="365"/>
      <c r="I29" s="366"/>
      <c r="J29" s="367"/>
      <c r="K29" s="368"/>
      <c r="L29" s="368"/>
      <c r="M29" s="368"/>
      <c r="N29" s="368"/>
      <c r="O29" s="369"/>
      <c r="P29" s="631">
        <f t="shared" si="0"/>
        <v>0</v>
      </c>
      <c r="Q29" s="378"/>
      <c r="R29" s="378"/>
      <c r="S29" s="377"/>
      <c r="T29" s="378"/>
      <c r="U29" s="372">
        <f t="shared" si="1"/>
        <v>0</v>
      </c>
      <c r="V29" s="379"/>
      <c r="W29" s="372">
        <f t="shared" si="2"/>
        <v>0</v>
      </c>
      <c r="Y29" s="382"/>
      <c r="Z29" s="562"/>
      <c r="AA29" s="383"/>
      <c r="AB29" s="372">
        <f t="shared" si="4"/>
        <v>0</v>
      </c>
      <c r="AC29" s="571" t="str">
        <f t="shared" si="3"/>
        <v>0</v>
      </c>
      <c r="AD29" s="385">
        <f t="shared" si="5"/>
        <v>0</v>
      </c>
      <c r="AE29" s="386">
        <f t="shared" si="6"/>
        <v>0</v>
      </c>
      <c r="AF29" s="386">
        <f t="shared" si="7"/>
        <v>0</v>
      </c>
      <c r="AG29" s="384">
        <f t="shared" si="8"/>
        <v>0</v>
      </c>
    </row>
    <row r="30" spans="2:33" s="120" customFormat="1" ht="26.1" customHeight="1">
      <c r="B30" s="361"/>
      <c r="C30" s="362"/>
      <c r="D30" s="362"/>
      <c r="E30" s="363"/>
      <c r="F30" s="363"/>
      <c r="G30" s="364"/>
      <c r="H30" s="365"/>
      <c r="I30" s="366"/>
      <c r="J30" s="365"/>
      <c r="K30" s="368"/>
      <c r="L30" s="368"/>
      <c r="M30" s="368"/>
      <c r="N30" s="368"/>
      <c r="O30" s="369"/>
      <c r="P30" s="631">
        <f t="shared" si="0"/>
        <v>0</v>
      </c>
      <c r="Q30" s="378"/>
      <c r="R30" s="378"/>
      <c r="S30" s="377"/>
      <c r="T30" s="378"/>
      <c r="U30" s="372">
        <f t="shared" si="1"/>
        <v>0</v>
      </c>
      <c r="V30" s="379"/>
      <c r="W30" s="372">
        <f t="shared" si="2"/>
        <v>0</v>
      </c>
      <c r="Y30" s="382"/>
      <c r="Z30" s="562"/>
      <c r="AA30" s="383"/>
      <c r="AB30" s="372">
        <f t="shared" si="4"/>
        <v>0</v>
      </c>
      <c r="AC30" s="571" t="str">
        <f t="shared" si="3"/>
        <v>0</v>
      </c>
      <c r="AD30" s="385">
        <f t="shared" si="5"/>
        <v>0</v>
      </c>
      <c r="AE30" s="386">
        <f t="shared" si="6"/>
        <v>0</v>
      </c>
      <c r="AF30" s="386">
        <f t="shared" si="7"/>
        <v>0</v>
      </c>
      <c r="AG30" s="384">
        <f t="shared" si="8"/>
        <v>0</v>
      </c>
    </row>
    <row r="31" spans="2:33" s="120" customFormat="1" ht="26.1" customHeight="1">
      <c r="B31" s="361"/>
      <c r="C31" s="362"/>
      <c r="D31" s="362"/>
      <c r="E31" s="363"/>
      <c r="F31" s="363"/>
      <c r="G31" s="364"/>
      <c r="H31" s="365"/>
      <c r="I31" s="366"/>
      <c r="J31" s="367"/>
      <c r="K31" s="368"/>
      <c r="L31" s="368"/>
      <c r="M31" s="368"/>
      <c r="N31" s="368"/>
      <c r="O31" s="369"/>
      <c r="P31" s="631">
        <f t="shared" si="0"/>
        <v>0</v>
      </c>
      <c r="Q31" s="375"/>
      <c r="R31" s="376"/>
      <c r="S31" s="377"/>
      <c r="T31" s="378"/>
      <c r="U31" s="372">
        <f t="shared" si="1"/>
        <v>0</v>
      </c>
      <c r="V31" s="379"/>
      <c r="W31" s="372">
        <f t="shared" si="2"/>
        <v>0</v>
      </c>
      <c r="Y31" s="382"/>
      <c r="Z31" s="561"/>
      <c r="AA31" s="383"/>
      <c r="AB31" s="372">
        <f t="shared" si="4"/>
        <v>0</v>
      </c>
      <c r="AC31" s="571" t="str">
        <f t="shared" si="3"/>
        <v>0</v>
      </c>
      <c r="AD31" s="385">
        <f t="shared" si="5"/>
        <v>0</v>
      </c>
      <c r="AE31" s="386">
        <f t="shared" si="6"/>
        <v>0</v>
      </c>
      <c r="AF31" s="386">
        <f t="shared" si="7"/>
        <v>0</v>
      </c>
      <c r="AG31" s="384">
        <f t="shared" si="8"/>
        <v>0</v>
      </c>
    </row>
    <row r="32" spans="2:33" s="120" customFormat="1" ht="26.1" customHeight="1">
      <c r="B32" s="361"/>
      <c r="C32" s="362"/>
      <c r="D32" s="362"/>
      <c r="E32" s="363"/>
      <c r="F32" s="363"/>
      <c r="G32" s="364"/>
      <c r="H32" s="365"/>
      <c r="I32" s="366"/>
      <c r="J32" s="367"/>
      <c r="K32" s="368"/>
      <c r="L32" s="368"/>
      <c r="M32" s="368"/>
      <c r="N32" s="368"/>
      <c r="O32" s="369"/>
      <c r="P32" s="631">
        <f t="shared" si="0"/>
        <v>0</v>
      </c>
      <c r="Q32" s="375"/>
      <c r="R32" s="376"/>
      <c r="S32" s="377">
        <v>0</v>
      </c>
      <c r="T32" s="378"/>
      <c r="U32" s="372">
        <f t="shared" si="1"/>
        <v>0</v>
      </c>
      <c r="V32" s="379"/>
      <c r="W32" s="372">
        <f t="shared" si="2"/>
        <v>0</v>
      </c>
      <c r="Y32" s="382"/>
      <c r="Z32" s="561"/>
      <c r="AA32" s="383"/>
      <c r="AB32" s="372">
        <f t="shared" si="4"/>
        <v>0</v>
      </c>
      <c r="AC32" s="571" t="str">
        <f t="shared" si="3"/>
        <v>0</v>
      </c>
      <c r="AD32" s="385">
        <f t="shared" si="5"/>
        <v>0</v>
      </c>
      <c r="AE32" s="386">
        <f t="shared" si="6"/>
        <v>0</v>
      </c>
      <c r="AF32" s="386">
        <f t="shared" si="7"/>
        <v>0</v>
      </c>
      <c r="AG32" s="384">
        <f t="shared" si="8"/>
        <v>0</v>
      </c>
    </row>
    <row r="33" spans="2:35" s="120" customFormat="1" ht="26.1" customHeight="1" thickBot="1">
      <c r="B33" s="416"/>
      <c r="C33" s="414"/>
      <c r="D33" s="414"/>
      <c r="E33" s="415"/>
      <c r="F33" s="415"/>
      <c r="G33" s="495"/>
      <c r="H33" s="458"/>
      <c r="I33" s="496"/>
      <c r="J33" s="497"/>
      <c r="K33" s="425"/>
      <c r="L33" s="425"/>
      <c r="M33" s="425"/>
      <c r="N33" s="425"/>
      <c r="O33" s="498"/>
      <c r="P33" s="631">
        <f t="shared" si="0"/>
        <v>0</v>
      </c>
      <c r="Q33" s="412"/>
      <c r="R33" s="460"/>
      <c r="S33" s="499">
        <v>0</v>
      </c>
      <c r="T33" s="457"/>
      <c r="U33" s="372">
        <f t="shared" si="1"/>
        <v>0</v>
      </c>
      <c r="V33" s="428"/>
      <c r="W33" s="372">
        <f t="shared" si="2"/>
        <v>0</v>
      </c>
      <c r="Y33" s="503"/>
      <c r="Z33" s="563"/>
      <c r="AA33" s="504"/>
      <c r="AB33" s="372">
        <f t="shared" si="4"/>
        <v>0</v>
      </c>
      <c r="AC33" s="571" t="str">
        <f t="shared" si="3"/>
        <v>0</v>
      </c>
      <c r="AD33" s="385">
        <f t="shared" si="5"/>
        <v>0</v>
      </c>
      <c r="AE33" s="386">
        <f t="shared" si="6"/>
        <v>0</v>
      </c>
      <c r="AF33" s="386">
        <f t="shared" si="7"/>
        <v>0</v>
      </c>
      <c r="AG33" s="384">
        <f t="shared" si="8"/>
        <v>0</v>
      </c>
    </row>
    <row r="34" spans="2:35" s="59" customFormat="1" ht="12" customHeight="1" thickBot="1">
      <c r="D34" s="121"/>
      <c r="E34" s="121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V34" s="122"/>
      <c r="W34" s="122"/>
      <c r="Y34" s="282"/>
      <c r="AB34" s="123"/>
      <c r="AC34" s="573"/>
      <c r="AD34" s="124"/>
      <c r="AE34" s="124"/>
      <c r="AF34" s="124"/>
      <c r="AG34" s="124"/>
    </row>
    <row r="35" spans="2:35" s="59" customFormat="1" ht="17.100000000000001" customHeight="1">
      <c r="B35" s="125" t="s">
        <v>58</v>
      </c>
      <c r="C35" s="60"/>
      <c r="D35" s="60"/>
      <c r="E35" s="126"/>
      <c r="F35" s="127"/>
      <c r="G35" s="127"/>
      <c r="H35" s="127"/>
      <c r="I35" s="127"/>
      <c r="J35" s="127"/>
      <c r="K35" s="128"/>
      <c r="L35" s="128" t="s">
        <v>379</v>
      </c>
      <c r="M35" s="128" t="s">
        <v>380</v>
      </c>
      <c r="N35" s="128" t="s">
        <v>381</v>
      </c>
      <c r="O35" s="128" t="s">
        <v>382</v>
      </c>
      <c r="P35" s="541"/>
      <c r="Q35" s="541"/>
      <c r="R35" s="541"/>
      <c r="S35" s="541"/>
      <c r="T35" s="541"/>
      <c r="U35" s="128" t="s">
        <v>372</v>
      </c>
      <c r="V35" s="541"/>
      <c r="W35" s="129" t="s">
        <v>383</v>
      </c>
      <c r="Y35" s="551"/>
      <c r="Z35" s="541"/>
      <c r="AA35" s="541"/>
      <c r="AB35" s="130" t="s">
        <v>875</v>
      </c>
      <c r="AC35" s="573"/>
      <c r="AD35" s="124"/>
      <c r="AE35" s="124"/>
      <c r="AF35" s="124"/>
      <c r="AG35" s="124"/>
    </row>
    <row r="36" spans="2:35" ht="17.100000000000001" customHeight="1">
      <c r="B36" s="131"/>
      <c r="E36" s="132"/>
      <c r="F36" s="133"/>
      <c r="G36" s="133"/>
      <c r="H36" s="133"/>
      <c r="I36" s="133"/>
      <c r="J36" s="134"/>
      <c r="K36" s="135" t="str">
        <f>Zusammenfassung!$C$26</f>
        <v>EUR</v>
      </c>
      <c r="L36" s="380">
        <f ca="1">SUMIF(INDIRECT("$J12:$J"&amp;EndZMaterials), $K36,INDIRECT("AD12:AD"&amp;EndZMaterials))</f>
        <v>0</v>
      </c>
      <c r="M36" s="380">
        <f ca="1">SUMIF(INDIRECT("$J12:$J"&amp;EndZMaterials), $K36,INDIRECT("AE12:AE"&amp;EndZMaterials))</f>
        <v>3.6749999999999998E-2</v>
      </c>
      <c r="N36" s="380">
        <f ca="1">SUMIF(INDIRECT("$J12:$J"&amp;EndZMaterials), $K36,INDIRECT("AF12:AF"&amp;EndZMaterials))</f>
        <v>0.15679999999999999</v>
      </c>
      <c r="O36" s="380">
        <f ca="1">SUMIF(INDIRECT("$J12:$J"&amp;EndZMaterials), $K36,INDIRECT("AG12:AG"&amp;EndZMaterials))</f>
        <v>0.35578419066666672</v>
      </c>
      <c r="P36" s="548"/>
      <c r="Q36" s="549"/>
      <c r="R36" s="549"/>
      <c r="S36" s="549"/>
      <c r="T36" s="545"/>
      <c r="U36" s="380">
        <f ca="1">SUMIF(INDIRECT("$J12:$J"&amp;EndZMaterials), $K36,INDIRECT("U12:U"&amp;EndZMaterials))</f>
        <v>9.4412577645333329</v>
      </c>
      <c r="V36" s="550"/>
      <c r="W36" s="381">
        <f ca="1">SUMIF(INDIRECT("$J12:$J"&amp;EndZMaterials), $K36,INDIRECT("W12:W"&amp;EndZMaterials))</f>
        <v>1.3967992957121416</v>
      </c>
      <c r="Y36" s="553"/>
      <c r="Z36" s="549"/>
      <c r="AA36" s="545"/>
      <c r="AB36" s="381">
        <f ca="1">SUMIF(INDIRECT("$J12:$J"&amp;EndZMaterials), $K36,INDIRECT("AB12:AB"&amp;EndZMaterials))</f>
        <v>0.28086652299999998</v>
      </c>
      <c r="AD36" s="136"/>
      <c r="AE36" s="136"/>
      <c r="AF36" s="136"/>
      <c r="AG36" s="136"/>
      <c r="AH36" s="59"/>
      <c r="AI36" s="59"/>
    </row>
    <row r="37" spans="2:35" ht="17.100000000000001" customHeight="1">
      <c r="B37" s="137"/>
      <c r="E37" s="132"/>
      <c r="F37" s="138"/>
      <c r="G37" s="138"/>
      <c r="H37" s="138"/>
      <c r="I37" s="139"/>
      <c r="J37" s="139"/>
      <c r="K37" s="140">
        <f>Zusammenfassung!$C$27</f>
        <v>0</v>
      </c>
      <c r="L37" s="380">
        <f ca="1">SUMIF(INDIRECT("$J12:$J"&amp;EndZMaterials), $K37,INDIRECT("AD12:AD"&amp;EndZMaterials))</f>
        <v>0</v>
      </c>
      <c r="M37" s="380">
        <f ca="1">SUMIF(INDIRECT("$J12:$J"&amp;EndZMaterials), $K37,INDIRECT("AE12:AE"&amp;EndZMaterials))</f>
        <v>0</v>
      </c>
      <c r="N37" s="380">
        <f ca="1">SUMIF(INDIRECT("$J12:$J"&amp;EndZMaterials), $K37,INDIRECT("AF12:AF"&amp;EndZMaterials))</f>
        <v>0</v>
      </c>
      <c r="O37" s="380">
        <f ca="1">SUMIF(INDIRECT("$J12:$J"&amp;EndZMaterials), $K37,INDIRECT("AG12:AG"&amp;EndZMaterials))</f>
        <v>0</v>
      </c>
      <c r="P37" s="548"/>
      <c r="Q37" s="549"/>
      <c r="R37" s="549"/>
      <c r="S37" s="549"/>
      <c r="T37" s="545"/>
      <c r="U37" s="515">
        <f ca="1">SUMIF(INDIRECT("$J12:$J"&amp;EndZMaterials), $K37,INDIRECT("U12:U"&amp;EndZMaterials))</f>
        <v>0</v>
      </c>
      <c r="V37" s="550"/>
      <c r="W37" s="516">
        <f ca="1">SUMIF(INDIRECT("$J12:$J"&amp;EndZMaterials), $K37,INDIRECT("W12:W"&amp;EndZMaterials))</f>
        <v>0</v>
      </c>
      <c r="Y37" s="553"/>
      <c r="Z37" s="549"/>
      <c r="AA37" s="545"/>
      <c r="AB37" s="516">
        <f ca="1">SUMIF(INDIRECT("$J12:$J"&amp;EndZMaterials), $K37,INDIRECT("AB12:AB"&amp;EndZMaterials))</f>
        <v>0</v>
      </c>
      <c r="AD37" s="136"/>
      <c r="AE37" s="136"/>
      <c r="AF37" s="136"/>
      <c r="AG37" s="136"/>
      <c r="AH37" s="59"/>
      <c r="AI37" s="59"/>
    </row>
    <row r="38" spans="2:35" ht="17.100000000000001" customHeight="1" thickBot="1">
      <c r="B38" s="304" t="s">
        <v>411</v>
      </c>
      <c r="C38" s="142"/>
      <c r="D38" s="142"/>
      <c r="E38" s="143"/>
      <c r="F38" s="144"/>
      <c r="G38" s="144"/>
      <c r="H38" s="144"/>
      <c r="I38" s="145"/>
      <c r="J38" s="145"/>
      <c r="K38" s="146">
        <f>Zusammenfassung!$C$28</f>
        <v>0</v>
      </c>
      <c r="L38" s="514">
        <f ca="1">SUMIF(INDIRECT("$J12:$J"&amp;EndZMaterials), $K38,INDIRECT("AD12:AD"&amp;EndZMaterials))</f>
        <v>0</v>
      </c>
      <c r="M38" s="514">
        <f ca="1">SUMIF(INDIRECT("$J12:$J"&amp;EndZMaterials), $K38,INDIRECT("AE12:AE"&amp;EndZMaterials))</f>
        <v>0</v>
      </c>
      <c r="N38" s="514">
        <f ca="1">SUMIF(INDIRECT("$J12:$J"&amp;EndZMaterials), $K38,INDIRECT("AF12:AF"&amp;EndZMaterials))</f>
        <v>0</v>
      </c>
      <c r="O38" s="514">
        <f ca="1">SUMIF(INDIRECT("$J12:$J"&amp;EndZMaterials), $K38,INDIRECT("AG12:AG"&amp;EndZMaterials))</f>
        <v>0</v>
      </c>
      <c r="P38" s="547"/>
      <c r="Q38" s="547"/>
      <c r="R38" s="547"/>
      <c r="S38" s="547"/>
      <c r="T38" s="547"/>
      <c r="U38" s="514">
        <f ca="1">SUMIF(INDIRECT("$J12:$J"&amp;EndZMaterials), $K38,INDIRECT("U12:U"&amp;EndZMaterials))</f>
        <v>0</v>
      </c>
      <c r="V38" s="547"/>
      <c r="W38" s="517">
        <f ca="1">SUMIF(INDIRECT("$J12:$J"&amp;EndZMaterials), $K38,INDIRECT("W12:W"&amp;EndZMaterials))</f>
        <v>0</v>
      </c>
      <c r="Y38" s="552"/>
      <c r="Z38" s="547"/>
      <c r="AA38" s="547"/>
      <c r="AB38" s="517">
        <f ca="1">SUMIF(INDIRECT("$J12:$J"&amp;EndZMaterials), $K38,INDIRECT("AB12:AB"&amp;EndZMaterials))</f>
        <v>0</v>
      </c>
      <c r="AD38" s="136"/>
      <c r="AE38" s="136"/>
      <c r="AF38" s="136"/>
      <c r="AG38" s="136"/>
      <c r="AH38" s="59"/>
      <c r="AI38" s="59"/>
    </row>
    <row r="39" spans="2:35">
      <c r="AD39" s="59"/>
      <c r="AE39" s="59"/>
      <c r="AF39" s="59"/>
      <c r="AG39" s="59"/>
      <c r="AH39" s="59"/>
      <c r="AI39" s="59"/>
    </row>
    <row r="40" spans="2:35">
      <c r="AD40" s="59"/>
      <c r="AE40" s="59"/>
      <c r="AF40" s="59"/>
      <c r="AG40" s="59"/>
      <c r="AH40" s="59"/>
      <c r="AI40" s="59"/>
    </row>
    <row r="41" spans="2:35">
      <c r="AD41" s="59"/>
      <c r="AE41" s="59"/>
      <c r="AF41" s="59"/>
      <c r="AG41" s="59"/>
      <c r="AH41" s="59"/>
      <c r="AI41" s="59"/>
    </row>
    <row r="42" spans="2:35">
      <c r="AD42" s="59"/>
      <c r="AE42" s="59"/>
      <c r="AF42" s="59"/>
      <c r="AG42" s="59"/>
      <c r="AH42" s="59"/>
      <c r="AI42" s="59"/>
    </row>
  </sheetData>
  <sheetProtection insertRows="0" deleteRows="0"/>
  <mergeCells count="14">
    <mergeCell ref="G4:I4"/>
    <mergeCell ref="S5:W5"/>
    <mergeCell ref="S6:W6"/>
    <mergeCell ref="S7:W7"/>
    <mergeCell ref="S8:W8"/>
    <mergeCell ref="J5:O5"/>
    <mergeCell ref="J6:O6"/>
    <mergeCell ref="J7:O7"/>
    <mergeCell ref="J8:O8"/>
    <mergeCell ref="B4:C4"/>
    <mergeCell ref="D5:F5"/>
    <mergeCell ref="D6:F6"/>
    <mergeCell ref="D7:F7"/>
    <mergeCell ref="D8:F8"/>
  </mergeCells>
  <conditionalFormatting sqref="L13:N13">
    <cfRule type="expression" dxfId="39" priority="19" stopIfTrue="1">
      <formula>$G13="Prämie (kg)"</formula>
    </cfRule>
  </conditionalFormatting>
  <conditionalFormatting sqref="L25:O33 L12:O12">
    <cfRule type="expression" dxfId="38" priority="29" stopIfTrue="1">
      <formula>$G12="Prämie (kg)"</formula>
    </cfRule>
  </conditionalFormatting>
  <conditionalFormatting sqref="L29:O29">
    <cfRule type="expression" dxfId="37" priority="15" stopIfTrue="1">
      <formula>$G29="Prämie (kg)"</formula>
    </cfRule>
  </conditionalFormatting>
  <conditionalFormatting sqref="L31:O31">
    <cfRule type="expression" dxfId="36" priority="13" stopIfTrue="1">
      <formula>$G31="Prämie (kg)"</formula>
    </cfRule>
  </conditionalFormatting>
  <conditionalFormatting sqref="L37:O37 U37 W37 AB37">
    <cfRule type="expression" dxfId="35" priority="44" stopIfTrue="1">
      <formula>$K$37=0</formula>
    </cfRule>
  </conditionalFormatting>
  <conditionalFormatting sqref="L38:O38 U38 W38 AB38">
    <cfRule type="expression" dxfId="34" priority="45" stopIfTrue="1">
      <formula>$K$38=0</formula>
    </cfRule>
  </conditionalFormatting>
  <conditionalFormatting sqref="O13">
    <cfRule type="expression" dxfId="33" priority="12" stopIfTrue="1">
      <formula>$G13="Prämie (kg)"</formula>
    </cfRule>
  </conditionalFormatting>
  <conditionalFormatting sqref="Q12:Q33 S12:S33 V12:W33 L14:O24">
    <cfRule type="expression" dxfId="32" priority="3" stopIfTrue="1">
      <formula>$G12="Prämie (kg)"</formula>
    </cfRule>
  </conditionalFormatting>
  <conditionalFormatting sqref="Q12:S33">
    <cfRule type="expression" dxfId="31" priority="2">
      <formula>$G12=(Rohstoff_Risiko)</formula>
    </cfRule>
    <cfRule type="expression" dxfId="30" priority="4" stopIfTrue="1">
      <formula>$G12="Stück (Kaufteil)"</formula>
    </cfRule>
  </conditionalFormatting>
  <conditionalFormatting sqref="V20:V27">
    <cfRule type="expression" dxfId="29" priority="1" stopIfTrue="1">
      <formula>$G20="Prämie (kg)"</formula>
    </cfRule>
  </conditionalFormatting>
  <conditionalFormatting sqref="Y12:AB33">
    <cfRule type="expression" dxfId="28" priority="20">
      <formula>$G12="Stück (Kaufteil)"</formula>
    </cfRule>
  </conditionalFormatting>
  <conditionalFormatting sqref="AA12:AB33">
    <cfRule type="expression" dxfId="27" priority="22" stopIfTrue="1">
      <formula>$AC12="x"</formula>
    </cfRule>
  </conditionalFormatting>
  <dataValidations count="7">
    <dataValidation type="custom" allowBlank="1" showInputMessage="1" showErrorMessage="1" errorTitle="Rückvergütung [AW]" error="Die Rückvergütung ist nur als positiver Wert einzutragen" sqref="S12" xr:uid="{00000000-0002-0000-0100-000005000000}">
      <formula1>S12&gt;=0</formula1>
    </dataValidation>
    <dataValidation type="list" allowBlank="1" showInputMessage="1" showErrorMessage="1" sqref="II12:IV33" xr:uid="{00000000-0002-0000-0100-000000000000}">
      <formula1>BAUTEILKENNUNG</formula1>
    </dataValidation>
    <dataValidation type="list" allowBlank="1" showInputMessage="1" showErrorMessage="1" sqref="G12:G33" xr:uid="{00000000-0002-0000-0100-000001000000}">
      <formula1>listMengeneinheiten</formula1>
    </dataValidation>
    <dataValidation type="list" allowBlank="1" showInputMessage="1" showErrorMessage="1" sqref="J12:J33" xr:uid="{00000000-0002-0000-0100-000002000000}">
      <formula1>listAngebotsWährungen</formula1>
    </dataValidation>
    <dataValidation type="list" allowBlank="1" showInputMessage="1" showErrorMessage="1" sqref="H12:H33" xr:uid="{00000000-0002-0000-0100-000003000000}">
      <formula1>listZulässigeBeschaffungswährungen</formula1>
    </dataValidation>
    <dataValidation type="list" allowBlank="1" showInputMessage="1" showErrorMessage="1" sqref="Y12:Y33" xr:uid="{00000000-0002-0000-0100-000004000000}">
      <formula1>listRohstoffschlüssel_Neu</formula1>
    </dataValidation>
    <dataValidation type="custom" allowBlank="1" showInputMessage="1" showErrorMessage="1" errorTitle="Rückvergütung" error="Die Rückvergütung ist nur als positiver Wert einzutragen" sqref="S13:S33" xr:uid="{00000000-0002-0000-0100-000006000000}">
      <formula1>S13&gt;=0</formula1>
    </dataValidation>
  </dataValidations>
  <hyperlinks>
    <hyperlink ref="U2" r:id="rId1" xr:uid="{00000000-0004-0000-0100-000000000000}"/>
  </hyperlinks>
  <pageMargins left="0.39370078740157483" right="0.39370078740157483" top="0.39370078740157483" bottom="0.39370078740157483" header="0.31496062992125984" footer="0.31496062992125984"/>
  <pageSetup paperSize="9" scale="47" orientation="landscape" r:id="rId2"/>
  <ignoredErrors>
    <ignoredError sqref="A1:AI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03Fer">
    <tabColor theme="6" tint="0.39997558519241921"/>
    <pageSetUpPr fitToPage="1"/>
  </sheetPr>
  <dimension ref="A1:AF39"/>
  <sheetViews>
    <sheetView showGridLines="0" showZeros="0" topLeftCell="C1" zoomScale="85" zoomScaleNormal="85" zoomScalePageLayoutView="80" workbookViewId="0">
      <selection activeCell="Q11" sqref="Q11"/>
    </sheetView>
  </sheetViews>
  <sheetFormatPr baseColWidth="10" defaultColWidth="11.44140625" defaultRowHeight="13.8"/>
  <cols>
    <col min="1" max="1" width="1.44140625" style="91" customWidth="1"/>
    <col min="2" max="2" width="5.6640625" style="91" customWidth="1"/>
    <col min="3" max="4" width="25.6640625" style="91" customWidth="1"/>
    <col min="5" max="6" width="15.6640625" style="91" customWidth="1"/>
    <col min="7" max="7" width="5.6640625" style="91" customWidth="1"/>
    <col min="8" max="10" width="8.33203125" style="91" customWidth="1"/>
    <col min="11" max="11" width="10.6640625" style="91" customWidth="1"/>
    <col min="12" max="12" width="8.33203125" style="91" customWidth="1"/>
    <col min="13" max="17" width="10.6640625" style="91" customWidth="1"/>
    <col min="18" max="18" width="5.6640625" style="91" customWidth="1"/>
    <col min="19" max="19" width="8.33203125" style="91" customWidth="1"/>
    <col min="20" max="20" width="8.6640625" style="91" customWidth="1"/>
    <col min="21" max="21" width="10.6640625" style="91" customWidth="1"/>
    <col min="22" max="22" width="8.33203125" style="91" customWidth="1"/>
    <col min="23" max="23" width="10.6640625" style="91" customWidth="1"/>
    <col min="24" max="24" width="1.44140625" style="91" customWidth="1"/>
    <col min="25" max="29" width="11.44140625" style="91" hidden="1" customWidth="1"/>
    <col min="30" max="32" width="0" style="91" hidden="1" customWidth="1"/>
    <col min="33" max="16384" width="11.44140625" style="91"/>
  </cols>
  <sheetData>
    <row r="1" spans="1:32" s="285" customFormat="1" ht="7.5" customHeight="1" thickBot="1">
      <c r="A1" s="285">
        <v>2</v>
      </c>
      <c r="B1" s="285">
        <v>5</v>
      </c>
      <c r="C1" s="285">
        <v>12</v>
      </c>
      <c r="D1" s="285">
        <v>25</v>
      </c>
      <c r="E1" s="285">
        <v>15</v>
      </c>
      <c r="F1" s="285">
        <v>15</v>
      </c>
      <c r="G1" s="285">
        <v>5</v>
      </c>
      <c r="H1" s="285">
        <v>7.5</v>
      </c>
      <c r="I1" s="285">
        <v>7.5</v>
      </c>
      <c r="J1" s="285">
        <v>7.5</v>
      </c>
      <c r="K1" s="285">
        <v>10</v>
      </c>
      <c r="L1" s="285">
        <v>7.5</v>
      </c>
      <c r="M1" s="285">
        <v>10</v>
      </c>
      <c r="O1" s="285">
        <v>10</v>
      </c>
      <c r="P1" s="285">
        <v>10</v>
      </c>
      <c r="Q1" s="285">
        <v>10</v>
      </c>
      <c r="R1" s="286">
        <v>5</v>
      </c>
      <c r="S1" s="286">
        <v>7.5</v>
      </c>
      <c r="T1" s="286">
        <v>5</v>
      </c>
      <c r="U1" s="286">
        <v>10</v>
      </c>
      <c r="V1" s="285">
        <v>7.5</v>
      </c>
      <c r="W1" s="285">
        <v>10</v>
      </c>
      <c r="X1" s="285">
        <v>2</v>
      </c>
    </row>
    <row r="2" spans="1:32" s="59" customFormat="1" ht="26.25" customHeight="1">
      <c r="B2" s="55" t="s">
        <v>1</v>
      </c>
      <c r="C2" s="55"/>
      <c r="D2" s="56"/>
      <c r="E2" s="56"/>
      <c r="F2" s="55" t="s">
        <v>2</v>
      </c>
      <c r="G2" s="56"/>
      <c r="H2" s="60"/>
      <c r="I2" s="56"/>
      <c r="J2" s="56"/>
      <c r="K2" s="56"/>
      <c r="L2" s="56"/>
      <c r="M2" s="56"/>
      <c r="N2" s="56"/>
      <c r="O2" s="56"/>
      <c r="P2" s="56"/>
      <c r="Q2" s="57" t="s">
        <v>46</v>
      </c>
      <c r="R2" s="54"/>
      <c r="S2" s="64"/>
      <c r="U2" s="654" t="s">
        <v>951</v>
      </c>
      <c r="V2" s="56"/>
      <c r="W2" s="66"/>
    </row>
    <row r="3" spans="1:32" s="59" customFormat="1" ht="17.399999999999999">
      <c r="B3" s="67" t="s">
        <v>500</v>
      </c>
      <c r="C3" s="67"/>
      <c r="D3" s="69"/>
      <c r="E3" s="69"/>
      <c r="F3" s="70" t="s">
        <v>947</v>
      </c>
      <c r="G3" s="69"/>
      <c r="I3" s="71"/>
      <c r="J3" s="71"/>
      <c r="K3" s="71"/>
      <c r="L3" s="71"/>
      <c r="M3" s="71"/>
      <c r="N3" s="71"/>
      <c r="O3" s="71"/>
      <c r="P3" s="71"/>
      <c r="Q3" s="72" t="s">
        <v>965</v>
      </c>
      <c r="R3" s="65"/>
      <c r="S3" s="71"/>
      <c r="T3" s="71"/>
      <c r="U3" s="71"/>
      <c r="V3" s="71"/>
      <c r="W3" s="73"/>
    </row>
    <row r="4" spans="1:32" s="59" customFormat="1" ht="14.4" thickBot="1">
      <c r="B4" s="785" t="str">
        <f>+Zusammenfassung!B4</f>
        <v>QAF Version 8.4_01_01 © BMW AG</v>
      </c>
      <c r="C4" s="804"/>
      <c r="D4" s="74"/>
      <c r="E4" s="74"/>
      <c r="F4" s="799" t="s">
        <v>948</v>
      </c>
      <c r="G4" s="800"/>
      <c r="H4" s="800"/>
      <c r="I4" s="75"/>
      <c r="J4" s="75"/>
      <c r="K4" s="75"/>
      <c r="L4" s="75"/>
      <c r="M4" s="75"/>
      <c r="N4" s="75"/>
      <c r="O4" s="75"/>
      <c r="P4" s="75"/>
      <c r="R4" s="75"/>
      <c r="S4" s="75"/>
      <c r="T4" s="75"/>
      <c r="U4" s="75"/>
      <c r="V4" s="75"/>
      <c r="W4" s="76"/>
    </row>
    <row r="5" spans="1:32" s="59" customFormat="1" ht="16.5" customHeight="1">
      <c r="B5" s="328" t="s">
        <v>53</v>
      </c>
      <c r="C5" s="328"/>
      <c r="D5" s="801" t="str">
        <f>Zusammenfassung!$C5</f>
        <v>Henry Sebold</v>
      </c>
      <c r="E5" s="807"/>
      <c r="F5" s="328" t="s">
        <v>280</v>
      </c>
      <c r="G5" s="329"/>
      <c r="H5" s="329"/>
      <c r="I5" s="787" t="str">
        <f>Zusammenfassung!$I5</f>
        <v>HIB Trim Part Solutions GmbH</v>
      </c>
      <c r="J5" s="788"/>
      <c r="K5" s="788"/>
      <c r="L5" s="788"/>
      <c r="M5" s="788"/>
      <c r="N5" s="788"/>
      <c r="O5" s="788"/>
      <c r="P5" s="148" t="s">
        <v>6</v>
      </c>
      <c r="Q5" s="149"/>
      <c r="R5" s="801" t="str">
        <f>Zusammenfassung!$M5</f>
        <v>FS_SA3_LL_Aluminuim_Mesh</v>
      </c>
      <c r="S5" s="788"/>
      <c r="T5" s="788"/>
      <c r="U5" s="788"/>
      <c r="V5" s="788"/>
      <c r="W5" s="789"/>
    </row>
    <row r="6" spans="1:32" s="59" customFormat="1" ht="17.100000000000001" customHeight="1">
      <c r="B6" s="150" t="s">
        <v>7</v>
      </c>
      <c r="C6" s="150"/>
      <c r="D6" s="790" t="str">
        <f>HYPERLINK(CONCATENATE("mailto:",Zusammenfassung!C6),Zusammenfassung!C6)</f>
        <v>henry.sebold@nbhx-trim.com</v>
      </c>
      <c r="E6" s="808"/>
      <c r="F6" s="330" t="s">
        <v>8</v>
      </c>
      <c r="G6" s="151"/>
      <c r="H6" s="151"/>
      <c r="I6" s="793">
        <f>Zusammenfassung!$I6</f>
        <v>14537310</v>
      </c>
      <c r="J6" s="794"/>
      <c r="K6" s="794"/>
      <c r="L6" s="794"/>
      <c r="M6" s="794"/>
      <c r="N6" s="794"/>
      <c r="O6" s="794"/>
      <c r="P6" s="151" t="s">
        <v>9</v>
      </c>
      <c r="Q6" s="152"/>
      <c r="R6" s="793">
        <f>Zusammenfassung!$M6</f>
        <v>0</v>
      </c>
      <c r="S6" s="794"/>
      <c r="T6" s="794"/>
      <c r="U6" s="794"/>
      <c r="V6" s="794"/>
      <c r="W6" s="795"/>
    </row>
    <row r="7" spans="1:32" s="59" customFormat="1" ht="17.100000000000001" customHeight="1">
      <c r="B7" s="150" t="s">
        <v>10</v>
      </c>
      <c r="C7" s="150"/>
      <c r="D7" s="793" t="str">
        <f>Zusammenfassung!$C7</f>
        <v>+49 7251 722 427</v>
      </c>
      <c r="E7" s="808"/>
      <c r="F7" s="330" t="s">
        <v>11</v>
      </c>
      <c r="G7" s="151"/>
      <c r="H7" s="151"/>
      <c r="I7" s="793" t="str">
        <f>Zusammenfassung!$I7</f>
        <v>U06ff.</v>
      </c>
      <c r="J7" s="794"/>
      <c r="K7" s="794"/>
      <c r="L7" s="794"/>
      <c r="M7" s="794"/>
      <c r="N7" s="794"/>
      <c r="O7" s="794"/>
      <c r="P7" s="151" t="s">
        <v>41</v>
      </c>
      <c r="Q7" s="152"/>
      <c r="R7" s="805">
        <f>Zusammenfassung!$M7</f>
        <v>0</v>
      </c>
      <c r="S7" s="794"/>
      <c r="T7" s="794"/>
      <c r="U7" s="794"/>
      <c r="V7" s="794"/>
      <c r="W7" s="795"/>
    </row>
    <row r="8" spans="1:32" s="59" customFormat="1" ht="17.100000000000001" customHeight="1" thickBot="1">
      <c r="B8" s="153" t="s">
        <v>13</v>
      </c>
      <c r="C8" s="153"/>
      <c r="D8" s="796">
        <f>Zusammenfassung!$C8</f>
        <v>45169</v>
      </c>
      <c r="E8" s="809"/>
      <c r="F8" s="155" t="s">
        <v>14</v>
      </c>
      <c r="G8" s="154"/>
      <c r="H8" s="154"/>
      <c r="I8" s="803">
        <f>Zusammenfassung!$I8</f>
        <v>9638715</v>
      </c>
      <c r="J8" s="797"/>
      <c r="K8" s="797"/>
      <c r="L8" s="797"/>
      <c r="M8" s="797"/>
      <c r="N8" s="797"/>
      <c r="O8" s="797"/>
      <c r="P8" s="154" t="s">
        <v>15</v>
      </c>
      <c r="Q8" s="156"/>
      <c r="R8" s="806">
        <f>Zusammenfassung!$M8</f>
        <v>0</v>
      </c>
      <c r="S8" s="797"/>
      <c r="T8" s="797"/>
      <c r="U8" s="797"/>
      <c r="V8" s="797"/>
      <c r="W8" s="798"/>
    </row>
    <row r="9" spans="1:32" s="59" customFormat="1" ht="12" customHeight="1" thickBot="1">
      <c r="A9" s="91"/>
      <c r="B9" s="91"/>
      <c r="C9" s="91"/>
      <c r="D9" s="305"/>
      <c r="E9" s="305"/>
      <c r="F9" s="306"/>
      <c r="G9" s="306"/>
      <c r="H9" s="306"/>
      <c r="I9" s="306"/>
      <c r="J9" s="306"/>
      <c r="K9" s="306"/>
      <c r="L9" s="306"/>
      <c r="M9" s="307"/>
      <c r="N9" s="307"/>
      <c r="O9" s="308"/>
      <c r="P9" s="308"/>
      <c r="Q9" s="308"/>
      <c r="R9" s="308"/>
      <c r="S9" s="308"/>
      <c r="T9" s="308"/>
      <c r="U9" s="308"/>
      <c r="V9" s="308"/>
    </row>
    <row r="10" spans="1:32" s="101" customFormat="1" ht="15" customHeight="1" thickBot="1">
      <c r="B10" s="97"/>
      <c r="C10" s="98"/>
      <c r="D10" s="98" t="s">
        <v>310</v>
      </c>
      <c r="E10" s="309"/>
      <c r="F10" s="226"/>
      <c r="G10" s="212"/>
      <c r="H10" s="212"/>
      <c r="I10" s="212"/>
      <c r="J10" s="212"/>
      <c r="K10" s="159" t="s">
        <v>399</v>
      </c>
      <c r="L10" s="213"/>
      <c r="M10" s="99"/>
      <c r="N10" s="99"/>
      <c r="O10" s="213"/>
      <c r="P10" s="711">
        <v>0.76800000000000002</v>
      </c>
      <c r="Q10" s="711">
        <f>0.5061*0+0.674*0+57.8%</f>
        <v>0.57799999999999996</v>
      </c>
      <c r="R10" s="310"/>
      <c r="S10" s="159" t="s">
        <v>223</v>
      </c>
      <c r="T10" s="159"/>
      <c r="U10" s="96"/>
      <c r="V10" s="96"/>
      <c r="W10" s="311"/>
      <c r="X10" s="177"/>
      <c r="Y10" s="288"/>
      <c r="Z10" s="99" t="s">
        <v>37</v>
      </c>
      <c r="AA10" s="99"/>
      <c r="AB10" s="212"/>
      <c r="AC10" s="312"/>
    </row>
    <row r="11" spans="1:32" s="117" customFormat="1" ht="160.5" customHeight="1" thickBot="1">
      <c r="B11" s="264" t="s">
        <v>418</v>
      </c>
      <c r="C11" s="666" t="s">
        <v>49</v>
      </c>
      <c r="D11" s="104" t="s">
        <v>32</v>
      </c>
      <c r="E11" s="115" t="s">
        <v>48</v>
      </c>
      <c r="F11" s="265" t="s">
        <v>33</v>
      </c>
      <c r="G11" s="667" t="s">
        <v>38</v>
      </c>
      <c r="H11" s="110" t="s">
        <v>34</v>
      </c>
      <c r="I11" s="115" t="s">
        <v>35</v>
      </c>
      <c r="J11" s="668" t="s">
        <v>316</v>
      </c>
      <c r="K11" s="298" t="s">
        <v>957</v>
      </c>
      <c r="L11" s="298" t="s">
        <v>958</v>
      </c>
      <c r="M11" s="669" t="s">
        <v>47</v>
      </c>
      <c r="N11" s="669" t="s">
        <v>415</v>
      </c>
      <c r="O11" s="669" t="s">
        <v>346</v>
      </c>
      <c r="P11" s="669" t="s">
        <v>347</v>
      </c>
      <c r="Q11" s="670" t="s">
        <v>398</v>
      </c>
      <c r="R11" s="116" t="s">
        <v>55</v>
      </c>
      <c r="S11" s="104" t="s">
        <v>39</v>
      </c>
      <c r="T11" s="105" t="s">
        <v>395</v>
      </c>
      <c r="U11" s="113" t="s">
        <v>349</v>
      </c>
      <c r="V11" s="116" t="s">
        <v>392</v>
      </c>
      <c r="W11" s="671" t="s">
        <v>406</v>
      </c>
      <c r="Y11" s="265" t="s">
        <v>348</v>
      </c>
      <c r="Z11" s="160" t="s">
        <v>313</v>
      </c>
      <c r="AA11" s="160" t="s">
        <v>414</v>
      </c>
      <c r="AB11" s="104" t="s">
        <v>315</v>
      </c>
      <c r="AC11" s="114" t="s">
        <v>314</v>
      </c>
      <c r="AD11" s="104" t="s">
        <v>954</v>
      </c>
      <c r="AE11" s="104" t="s">
        <v>952</v>
      </c>
      <c r="AF11" s="104" t="s">
        <v>953</v>
      </c>
    </row>
    <row r="12" spans="1:32" s="120" customFormat="1" ht="26.1" hidden="1" customHeight="1">
      <c r="A12" s="118"/>
      <c r="B12" s="390"/>
      <c r="C12" s="389"/>
      <c r="D12" s="388"/>
      <c r="E12" s="389"/>
      <c r="F12" s="390"/>
      <c r="G12" s="356"/>
      <c r="H12" s="388"/>
      <c r="I12" s="388"/>
      <c r="J12" s="406"/>
      <c r="K12" s="406"/>
      <c r="L12" s="407"/>
      <c r="M12" s="388"/>
      <c r="N12" s="408"/>
      <c r="O12" s="400">
        <f>IF(I12&gt;0, ((J12*K12*(1+L12) + M12)*H12/I12/3600)+N12, 0)</f>
        <v>0</v>
      </c>
      <c r="P12" s="420"/>
      <c r="Q12" s="371">
        <f t="shared" ref="Q12:Q33" si="0">IF(I12&gt;0,((J12*K12*(1+L12) + M12+ P12)*H12/I12/3600)+N12, 0)</f>
        <v>0</v>
      </c>
      <c r="R12" s="355"/>
      <c r="S12" s="360"/>
      <c r="T12" s="387"/>
      <c r="U12" s="371">
        <f>Q12*S12*T12</f>
        <v>0</v>
      </c>
      <c r="V12" s="427"/>
      <c r="W12" s="371">
        <f>U12*(1/(1-V12)-1)</f>
        <v>0</v>
      </c>
      <c r="Y12" s="392">
        <f t="shared" ref="Y12:Y33" si="1">IF(I12&gt;0, J12*K12*(L12+1)*H12/I12/3600*S12*T12, 0)</f>
        <v>0</v>
      </c>
      <c r="Z12" s="393">
        <f t="shared" ref="Z12:Z33" si="2">IF(I12&gt;0, M12*H12/I12/3600*S12*T12, 0)</f>
        <v>0</v>
      </c>
      <c r="AA12" s="393" t="str">
        <f t="shared" ref="AA12:AA33" si="3">IF(I12&gt;0,N12*S12*T12,"")</f>
        <v/>
      </c>
      <c r="AB12" s="393">
        <f t="shared" ref="AB12:AB33" si="4">O12*S12*T12</f>
        <v>0</v>
      </c>
      <c r="AC12" s="394">
        <f t="shared" ref="AC12:AC33" si="5">IF(I12&gt;0, P12*H12/I12/3600*S12*T12, 0)</f>
        <v>0</v>
      </c>
    </row>
    <row r="13" spans="1:32" s="120" customFormat="1" ht="26.1" customHeight="1">
      <c r="B13" s="361"/>
      <c r="C13" s="362"/>
      <c r="D13" s="362"/>
      <c r="E13" s="363"/>
      <c r="F13" s="361"/>
      <c r="G13" s="409"/>
      <c r="H13" s="362"/>
      <c r="I13" s="362"/>
      <c r="J13" s="391"/>
      <c r="K13" s="678">
        <v>7.73</v>
      </c>
      <c r="L13" s="679">
        <v>0.28000000000000003</v>
      </c>
      <c r="M13" s="362"/>
      <c r="N13" s="411"/>
      <c r="O13" s="401">
        <f t="shared" ref="O13:O23" si="6">IF(I13&gt;0, ((J13*K13*(1+L13) + M13)*H13/I13/3600)+N13, 0)</f>
        <v>0</v>
      </c>
      <c r="P13" s="678">
        <v>5.01</v>
      </c>
      <c r="Q13" s="384">
        <f t="shared" si="0"/>
        <v>0</v>
      </c>
      <c r="R13" s="422"/>
      <c r="S13" s="368"/>
      <c r="T13" s="423"/>
      <c r="U13" s="384">
        <f t="shared" ref="U13:U17" si="7">Q13*S13*T13</f>
        <v>0</v>
      </c>
      <c r="V13" s="379"/>
      <c r="W13" s="384">
        <f t="shared" ref="W13:W23" si="8">U13*(1/(1-V13)-1)</f>
        <v>0</v>
      </c>
      <c r="Y13" s="385">
        <f t="shared" ref="Y13:Y17" si="9">IF(I13&gt;0, J13*K13*(L13+1)*H13/I13/3600*S13*T13, 0)</f>
        <v>0</v>
      </c>
      <c r="Z13" s="386">
        <f t="shared" ref="Z13:Z17" si="10">IF(I13&gt;0, M13*H13/I13/3600*S13*T13, 0)</f>
        <v>0</v>
      </c>
      <c r="AA13" s="386" t="str">
        <f t="shared" ref="AA13:AA17" si="11">IF(I13&gt;0,N13*S13*T13,"")</f>
        <v/>
      </c>
      <c r="AB13" s="386">
        <f t="shared" ref="AB13:AB17" si="12">O13*S13*T13</f>
        <v>0</v>
      </c>
      <c r="AC13" s="395">
        <f t="shared" ref="AC13:AC17" si="13">IF(I13&gt;0, P13*H13/I13/3600*S13*T13, 0)</f>
        <v>0</v>
      </c>
      <c r="AD13" s="391"/>
      <c r="AE13" s="391"/>
      <c r="AF13" s="391"/>
    </row>
    <row r="14" spans="1:32" s="120" customFormat="1" ht="26.1" customHeight="1">
      <c r="B14" s="361"/>
      <c r="C14" s="362"/>
      <c r="D14" s="624" t="s">
        <v>1031</v>
      </c>
      <c r="E14" s="625" t="s">
        <v>1032</v>
      </c>
      <c r="F14" s="623" t="s">
        <v>979</v>
      </c>
      <c r="G14" s="409" t="s">
        <v>45</v>
      </c>
      <c r="H14" s="624">
        <v>144</v>
      </c>
      <c r="I14" s="624">
        <v>12</v>
      </c>
      <c r="J14" s="718">
        <v>1</v>
      </c>
      <c r="K14" s="718">
        <v>11.25</v>
      </c>
      <c r="L14" s="719">
        <v>0.28000000000000003</v>
      </c>
      <c r="M14" s="720">
        <f>0.29*60</f>
        <v>17.399999999999999</v>
      </c>
      <c r="N14" s="720"/>
      <c r="O14" s="721">
        <f t="shared" si="6"/>
        <v>0.106</v>
      </c>
      <c r="P14" s="722">
        <f>(K14*(1+L14)+M14)*$Q$10</f>
        <v>18.380399999999998</v>
      </c>
      <c r="Q14" s="723">
        <f t="shared" si="0"/>
        <v>0.16726799999999997</v>
      </c>
      <c r="R14" s="422" t="s">
        <v>45</v>
      </c>
      <c r="S14" s="630">
        <v>1</v>
      </c>
      <c r="T14" s="724">
        <v>1</v>
      </c>
      <c r="U14" s="384">
        <f t="shared" si="7"/>
        <v>0.16726799999999997</v>
      </c>
      <c r="V14" s="379">
        <v>0.22900000000000001</v>
      </c>
      <c r="W14" s="384">
        <f t="shared" si="8"/>
        <v>4.9681416342412452E-2</v>
      </c>
      <c r="Y14" s="385"/>
      <c r="Z14" s="386"/>
      <c r="AA14" s="386"/>
      <c r="AB14" s="386"/>
      <c r="AC14" s="395"/>
      <c r="AD14" s="391"/>
      <c r="AE14" s="391"/>
      <c r="AF14" s="391"/>
    </row>
    <row r="15" spans="1:32" s="120" customFormat="1" ht="26.1" customHeight="1">
      <c r="B15" s="361"/>
      <c r="C15" s="362" t="s">
        <v>976</v>
      </c>
      <c r="D15" s="362" t="s">
        <v>977</v>
      </c>
      <c r="E15" s="363" t="s">
        <v>978</v>
      </c>
      <c r="F15" s="361" t="s">
        <v>979</v>
      </c>
      <c r="G15" s="409" t="s">
        <v>45</v>
      </c>
      <c r="H15" s="362">
        <v>20</v>
      </c>
      <c r="I15" s="362">
        <v>12</v>
      </c>
      <c r="J15" s="391">
        <v>1</v>
      </c>
      <c r="K15" s="718">
        <v>11.25</v>
      </c>
      <c r="L15" s="410">
        <f>$L$13</f>
        <v>0.28000000000000003</v>
      </c>
      <c r="M15" s="411">
        <f>28.64*1.1</f>
        <v>31.504000000000005</v>
      </c>
      <c r="N15" s="411"/>
      <c r="O15" s="401">
        <f t="shared" si="6"/>
        <v>2.1251851851851855E-2</v>
      </c>
      <c r="P15" s="722">
        <f t="shared" ref="P15:P24" si="14">(K15*(1+L15)+M15)*$Q$10</f>
        <v>26.532512000000001</v>
      </c>
      <c r="Q15" s="384">
        <f t="shared" si="0"/>
        <v>3.3535422222222229E-2</v>
      </c>
      <c r="R15" s="422" t="s">
        <v>45</v>
      </c>
      <c r="S15" s="368">
        <v>1</v>
      </c>
      <c r="T15" s="423">
        <v>1</v>
      </c>
      <c r="U15" s="384">
        <f t="shared" si="7"/>
        <v>3.3535422222222229E-2</v>
      </c>
      <c r="V15" s="379">
        <f>14%*0+22.9%</f>
        <v>0.22899999999999998</v>
      </c>
      <c r="W15" s="384">
        <f t="shared" si="8"/>
        <v>9.9605858481049189E-3</v>
      </c>
      <c r="Y15" s="385">
        <f t="shared" si="9"/>
        <v>6.6666666666666671E-3</v>
      </c>
      <c r="Z15" s="386">
        <f t="shared" si="10"/>
        <v>1.4585185185185189E-2</v>
      </c>
      <c r="AA15" s="386">
        <f t="shared" si="11"/>
        <v>0</v>
      </c>
      <c r="AB15" s="386">
        <f t="shared" si="12"/>
        <v>2.1251851851851855E-2</v>
      </c>
      <c r="AC15" s="395">
        <f t="shared" si="13"/>
        <v>1.2283570370370372E-2</v>
      </c>
      <c r="AD15" s="391"/>
      <c r="AE15" s="391"/>
      <c r="AF15" s="391"/>
    </row>
    <row r="16" spans="1:32" s="120" customFormat="1" ht="26.1" customHeight="1">
      <c r="B16" s="361"/>
      <c r="C16" s="362" t="s">
        <v>980</v>
      </c>
      <c r="D16" s="362" t="s">
        <v>981</v>
      </c>
      <c r="E16" s="363" t="s">
        <v>982</v>
      </c>
      <c r="F16" s="361" t="s">
        <v>979</v>
      </c>
      <c r="G16" s="409" t="s">
        <v>45</v>
      </c>
      <c r="H16" s="362">
        <v>20</v>
      </c>
      <c r="I16" s="362">
        <v>1</v>
      </c>
      <c r="J16" s="391">
        <v>1</v>
      </c>
      <c r="K16" s="718">
        <v>11.25</v>
      </c>
      <c r="L16" s="410">
        <f t="shared" ref="L16:L23" si="15">$L$13</f>
        <v>0.28000000000000003</v>
      </c>
      <c r="M16" s="411">
        <f t="shared" ref="M16:M17" si="16">28.64*1.1</f>
        <v>31.504000000000005</v>
      </c>
      <c r="N16" s="411"/>
      <c r="O16" s="401">
        <f t="shared" si="6"/>
        <v>0.25502222222222226</v>
      </c>
      <c r="P16" s="722">
        <f t="shared" si="14"/>
        <v>26.532512000000001</v>
      </c>
      <c r="Q16" s="384">
        <f t="shared" si="0"/>
        <v>0.40242506666666672</v>
      </c>
      <c r="R16" s="422" t="s">
        <v>45</v>
      </c>
      <c r="S16" s="368">
        <v>1</v>
      </c>
      <c r="T16" s="423">
        <v>1</v>
      </c>
      <c r="U16" s="384">
        <f t="shared" si="7"/>
        <v>0.40242506666666672</v>
      </c>
      <c r="V16" s="379">
        <v>0.14000000000000001</v>
      </c>
      <c r="W16" s="384">
        <f t="shared" si="8"/>
        <v>6.5511057364341124E-2</v>
      </c>
      <c r="Y16" s="385">
        <f t="shared" si="9"/>
        <v>0.08</v>
      </c>
      <c r="Z16" s="386">
        <f t="shared" si="10"/>
        <v>0.17502222222222227</v>
      </c>
      <c r="AA16" s="386">
        <f t="shared" si="11"/>
        <v>0</v>
      </c>
      <c r="AB16" s="386">
        <f t="shared" si="12"/>
        <v>0.25502222222222226</v>
      </c>
      <c r="AC16" s="395">
        <f t="shared" si="13"/>
        <v>0.14740284444444446</v>
      </c>
      <c r="AD16" s="391"/>
      <c r="AE16" s="391"/>
      <c r="AF16" s="391"/>
    </row>
    <row r="17" spans="2:32" s="120" customFormat="1" ht="26.1" customHeight="1">
      <c r="B17" s="361"/>
      <c r="C17" s="362" t="s">
        <v>980</v>
      </c>
      <c r="D17" s="362" t="s">
        <v>994</v>
      </c>
      <c r="E17" s="363" t="s">
        <v>982</v>
      </c>
      <c r="F17" s="361" t="s">
        <v>979</v>
      </c>
      <c r="G17" s="409" t="s">
        <v>45</v>
      </c>
      <c r="H17" s="362">
        <v>20</v>
      </c>
      <c r="I17" s="362">
        <v>1</v>
      </c>
      <c r="J17" s="391">
        <v>1</v>
      </c>
      <c r="K17" s="718">
        <v>11.25</v>
      </c>
      <c r="L17" s="410">
        <f t="shared" si="15"/>
        <v>0.28000000000000003</v>
      </c>
      <c r="M17" s="411">
        <f t="shared" si="16"/>
        <v>31.504000000000005</v>
      </c>
      <c r="N17" s="411"/>
      <c r="O17" s="401">
        <f t="shared" si="6"/>
        <v>0.25502222222222226</v>
      </c>
      <c r="P17" s="722">
        <f t="shared" si="14"/>
        <v>26.532512000000001</v>
      </c>
      <c r="Q17" s="384">
        <f t="shared" si="0"/>
        <v>0.40242506666666672</v>
      </c>
      <c r="R17" s="422" t="s">
        <v>45</v>
      </c>
      <c r="S17" s="368">
        <v>1</v>
      </c>
      <c r="T17" s="423">
        <v>1</v>
      </c>
      <c r="U17" s="384">
        <f t="shared" si="7"/>
        <v>0.40242506666666672</v>
      </c>
      <c r="V17" s="379">
        <v>0.14000000000000001</v>
      </c>
      <c r="W17" s="384">
        <f t="shared" si="8"/>
        <v>6.5511057364341124E-2</v>
      </c>
      <c r="Y17" s="385">
        <f t="shared" si="9"/>
        <v>0.08</v>
      </c>
      <c r="Z17" s="386">
        <f t="shared" si="10"/>
        <v>0.17502222222222227</v>
      </c>
      <c r="AA17" s="386">
        <f t="shared" si="11"/>
        <v>0</v>
      </c>
      <c r="AB17" s="386">
        <f t="shared" si="12"/>
        <v>0.25502222222222226</v>
      </c>
      <c r="AC17" s="395">
        <f t="shared" si="13"/>
        <v>0.14740284444444446</v>
      </c>
      <c r="AD17" s="391"/>
      <c r="AE17" s="391"/>
      <c r="AF17" s="391"/>
    </row>
    <row r="18" spans="2:32" s="120" customFormat="1" ht="26.1" customHeight="1">
      <c r="B18" s="361"/>
      <c r="C18" s="362" t="s">
        <v>980</v>
      </c>
      <c r="D18" s="362" t="s">
        <v>983</v>
      </c>
      <c r="E18" s="363" t="s">
        <v>984</v>
      </c>
      <c r="F18" s="361" t="s">
        <v>979</v>
      </c>
      <c r="G18" s="409" t="s">
        <v>45</v>
      </c>
      <c r="H18" s="362">
        <v>20</v>
      </c>
      <c r="I18" s="362">
        <v>1</v>
      </c>
      <c r="J18" s="391">
        <f>0.5*0+2</f>
        <v>2</v>
      </c>
      <c r="K18" s="718">
        <v>11.25</v>
      </c>
      <c r="L18" s="410">
        <f t="shared" si="15"/>
        <v>0.28000000000000003</v>
      </c>
      <c r="M18" s="411">
        <f>29.61*1.1</f>
        <v>32.571000000000005</v>
      </c>
      <c r="N18" s="411"/>
      <c r="O18" s="401">
        <f t="shared" si="6"/>
        <v>0.34095000000000003</v>
      </c>
      <c r="P18" s="722">
        <f t="shared" si="14"/>
        <v>27.149238</v>
      </c>
      <c r="Q18" s="384">
        <f t="shared" si="0"/>
        <v>0.49177910000000002</v>
      </c>
      <c r="R18" s="422" t="s">
        <v>45</v>
      </c>
      <c r="S18" s="368">
        <v>1</v>
      </c>
      <c r="T18" s="423">
        <v>1</v>
      </c>
      <c r="U18" s="384">
        <f t="shared" ref="U18:U23" si="17">Q18*S18*T18</f>
        <v>0.49177910000000002</v>
      </c>
      <c r="V18" s="379">
        <v>0.14000000000000001</v>
      </c>
      <c r="W18" s="384">
        <f t="shared" si="8"/>
        <v>8.0057062790697714E-2</v>
      </c>
      <c r="Y18" s="385">
        <f t="shared" si="1"/>
        <v>0.16</v>
      </c>
      <c r="Z18" s="386">
        <f t="shared" si="2"/>
        <v>0.18095000000000003</v>
      </c>
      <c r="AA18" s="386">
        <f t="shared" si="3"/>
        <v>0</v>
      </c>
      <c r="AB18" s="386">
        <f t="shared" si="4"/>
        <v>0.34095000000000003</v>
      </c>
      <c r="AC18" s="395">
        <f t="shared" si="5"/>
        <v>0.15082910000000002</v>
      </c>
      <c r="AD18" s="391"/>
      <c r="AE18" s="391"/>
      <c r="AF18" s="391"/>
    </row>
    <row r="19" spans="2:32" s="120" customFormat="1" ht="26.1" hidden="1" customHeight="1">
      <c r="B19" s="361"/>
      <c r="C19" s="362"/>
      <c r="D19" s="362" t="s">
        <v>985</v>
      </c>
      <c r="E19" s="363"/>
      <c r="F19" s="361" t="s">
        <v>979</v>
      </c>
      <c r="G19" s="409" t="s">
        <v>45</v>
      </c>
      <c r="H19" s="362"/>
      <c r="I19" s="362"/>
      <c r="J19" s="391"/>
      <c r="K19" s="718">
        <v>11.25</v>
      </c>
      <c r="L19" s="410">
        <f t="shared" si="15"/>
        <v>0.28000000000000003</v>
      </c>
      <c r="M19" s="411"/>
      <c r="N19" s="411"/>
      <c r="O19" s="401">
        <f t="shared" si="6"/>
        <v>0</v>
      </c>
      <c r="P19" s="722">
        <f t="shared" si="14"/>
        <v>8.3231999999999999</v>
      </c>
      <c r="Q19" s="384">
        <f t="shared" si="0"/>
        <v>0</v>
      </c>
      <c r="R19" s="422" t="s">
        <v>45</v>
      </c>
      <c r="S19" s="368">
        <v>1</v>
      </c>
      <c r="T19" s="423">
        <v>1</v>
      </c>
      <c r="U19" s="384">
        <f t="shared" si="17"/>
        <v>0</v>
      </c>
      <c r="V19" s="379">
        <v>0.12</v>
      </c>
      <c r="W19" s="384">
        <f t="shared" si="8"/>
        <v>0</v>
      </c>
      <c r="Y19" s="385"/>
      <c r="Z19" s="386"/>
      <c r="AA19" s="386"/>
      <c r="AB19" s="386"/>
      <c r="AC19" s="395"/>
      <c r="AD19" s="391"/>
      <c r="AE19" s="391"/>
      <c r="AF19" s="391"/>
    </row>
    <row r="20" spans="2:32" s="120" customFormat="1" ht="26.1" customHeight="1">
      <c r="B20" s="361"/>
      <c r="C20" s="362"/>
      <c r="D20" s="362" t="s">
        <v>986</v>
      </c>
      <c r="E20" s="363" t="s">
        <v>995</v>
      </c>
      <c r="F20" s="361" t="s">
        <v>979</v>
      </c>
      <c r="G20" s="409" t="s">
        <v>45</v>
      </c>
      <c r="H20" s="362">
        <f>70*0+78</f>
        <v>78</v>
      </c>
      <c r="I20" s="362">
        <v>2</v>
      </c>
      <c r="J20" s="391">
        <f>0.7*0+1</f>
        <v>1</v>
      </c>
      <c r="K20" s="718">
        <v>11.25</v>
      </c>
      <c r="L20" s="410">
        <f t="shared" si="15"/>
        <v>0.28000000000000003</v>
      </c>
      <c r="M20" s="411">
        <f>15.28*1.1</f>
        <v>16.808</v>
      </c>
      <c r="N20" s="411"/>
      <c r="O20" s="401">
        <f t="shared" si="6"/>
        <v>0.33808666666666665</v>
      </c>
      <c r="P20" s="722">
        <f t="shared" si="14"/>
        <v>18.038223999999996</v>
      </c>
      <c r="Q20" s="384">
        <f t="shared" si="0"/>
        <v>0.53350075999999991</v>
      </c>
      <c r="R20" s="422" t="s">
        <v>45</v>
      </c>
      <c r="S20" s="368">
        <v>1</v>
      </c>
      <c r="T20" s="423">
        <v>1</v>
      </c>
      <c r="U20" s="384">
        <f t="shared" si="17"/>
        <v>0.53350075999999991</v>
      </c>
      <c r="V20" s="379">
        <v>0.12</v>
      </c>
      <c r="W20" s="384">
        <f t="shared" si="8"/>
        <v>7.275010363636368E-2</v>
      </c>
      <c r="Y20" s="385"/>
      <c r="Z20" s="386"/>
      <c r="AA20" s="386"/>
      <c r="AB20" s="386"/>
      <c r="AC20" s="395"/>
      <c r="AD20" s="391"/>
      <c r="AE20" s="391"/>
      <c r="AF20" s="391"/>
    </row>
    <row r="21" spans="2:32" s="120" customFormat="1" ht="26.1" customHeight="1">
      <c r="B21" s="361"/>
      <c r="C21" s="362"/>
      <c r="D21" s="362" t="s">
        <v>987</v>
      </c>
      <c r="E21" s="363" t="s">
        <v>995</v>
      </c>
      <c r="F21" s="361" t="s">
        <v>979</v>
      </c>
      <c r="G21" s="409" t="s">
        <v>45</v>
      </c>
      <c r="H21" s="362">
        <v>3600</v>
      </c>
      <c r="I21" s="362">
        <v>1600</v>
      </c>
      <c r="J21" s="391">
        <v>1</v>
      </c>
      <c r="K21" s="718">
        <v>11.25</v>
      </c>
      <c r="L21" s="410">
        <f t="shared" si="15"/>
        <v>0.28000000000000003</v>
      </c>
      <c r="M21" s="411">
        <f>15.28*1.1</f>
        <v>16.808</v>
      </c>
      <c r="N21" s="411"/>
      <c r="O21" s="401">
        <f t="shared" si="6"/>
        <v>1.9504999999999998E-2</v>
      </c>
      <c r="P21" s="722">
        <f t="shared" si="14"/>
        <v>18.038223999999996</v>
      </c>
      <c r="Q21" s="384">
        <f t="shared" si="0"/>
        <v>3.0778890000000003E-2</v>
      </c>
      <c r="R21" s="422" t="s">
        <v>45</v>
      </c>
      <c r="S21" s="368">
        <v>1</v>
      </c>
      <c r="T21" s="423">
        <v>1</v>
      </c>
      <c r="U21" s="384">
        <f t="shared" si="17"/>
        <v>3.0778890000000003E-2</v>
      </c>
      <c r="V21" s="379">
        <v>0.12</v>
      </c>
      <c r="W21" s="384">
        <f t="shared" si="8"/>
        <v>4.1971213636363674E-3</v>
      </c>
      <c r="Y21" s="385"/>
      <c r="Z21" s="386"/>
      <c r="AA21" s="386"/>
      <c r="AB21" s="386"/>
      <c r="AC21" s="395"/>
      <c r="AD21" s="391"/>
      <c r="AE21" s="391"/>
      <c r="AF21" s="391"/>
    </row>
    <row r="22" spans="2:32" s="120" customFormat="1" ht="26.1" hidden="1" customHeight="1">
      <c r="B22" s="361"/>
      <c r="C22" s="362"/>
      <c r="D22" s="362" t="s">
        <v>988</v>
      </c>
      <c r="E22" s="363"/>
      <c r="F22" s="361" t="s">
        <v>979</v>
      </c>
      <c r="G22" s="409" t="s">
        <v>45</v>
      </c>
      <c r="H22" s="362"/>
      <c r="I22" s="362"/>
      <c r="J22" s="391"/>
      <c r="K22" s="718">
        <v>11.25</v>
      </c>
      <c r="L22" s="410">
        <f t="shared" si="15"/>
        <v>0.28000000000000003</v>
      </c>
      <c r="M22" s="411"/>
      <c r="N22" s="411"/>
      <c r="O22" s="401">
        <f t="shared" si="6"/>
        <v>0</v>
      </c>
      <c r="P22" s="722">
        <f t="shared" si="14"/>
        <v>8.3231999999999999</v>
      </c>
      <c r="Q22" s="384">
        <f t="shared" si="0"/>
        <v>0</v>
      </c>
      <c r="R22" s="422" t="s">
        <v>45</v>
      </c>
      <c r="S22" s="368">
        <v>1</v>
      </c>
      <c r="T22" s="423">
        <v>1</v>
      </c>
      <c r="U22" s="384">
        <f t="shared" si="17"/>
        <v>0</v>
      </c>
      <c r="V22" s="379">
        <v>0.04</v>
      </c>
      <c r="W22" s="384">
        <f t="shared" si="8"/>
        <v>0</v>
      </c>
      <c r="Y22" s="385">
        <f t="shared" si="1"/>
        <v>0</v>
      </c>
      <c r="Z22" s="386">
        <f t="shared" si="2"/>
        <v>0</v>
      </c>
      <c r="AA22" s="386" t="str">
        <f t="shared" si="3"/>
        <v/>
      </c>
      <c r="AB22" s="386">
        <f t="shared" si="4"/>
        <v>0</v>
      </c>
      <c r="AC22" s="395">
        <f t="shared" si="5"/>
        <v>0</v>
      </c>
      <c r="AD22" s="391"/>
      <c r="AE22" s="391"/>
      <c r="AF22" s="391"/>
    </row>
    <row r="23" spans="2:32" s="120" customFormat="1" ht="26.1" customHeight="1">
      <c r="B23" s="361"/>
      <c r="C23" s="362"/>
      <c r="D23" s="362" t="s">
        <v>989</v>
      </c>
      <c r="E23" s="363" t="s">
        <v>990</v>
      </c>
      <c r="F23" s="361" t="s">
        <v>979</v>
      </c>
      <c r="G23" s="409" t="s">
        <v>45</v>
      </c>
      <c r="H23" s="362">
        <f>40.5*0+113</f>
        <v>113</v>
      </c>
      <c r="I23" s="362">
        <f>2*0+1</f>
        <v>1</v>
      </c>
      <c r="J23" s="391">
        <v>1</v>
      </c>
      <c r="K23" s="718">
        <v>11.25</v>
      </c>
      <c r="L23" s="410">
        <f t="shared" si="15"/>
        <v>0.28000000000000003</v>
      </c>
      <c r="M23" s="411">
        <f>33.28*1.1</f>
        <v>36.608000000000004</v>
      </c>
      <c r="N23" s="411"/>
      <c r="O23" s="401">
        <f t="shared" si="6"/>
        <v>1.6010844444444445</v>
      </c>
      <c r="P23" s="722">
        <f t="shared" si="14"/>
        <v>29.482623999999998</v>
      </c>
      <c r="Q23" s="384">
        <f t="shared" si="0"/>
        <v>2.5265112533333332</v>
      </c>
      <c r="R23" s="422" t="s">
        <v>45</v>
      </c>
      <c r="S23" s="368">
        <v>1</v>
      </c>
      <c r="T23" s="423">
        <v>1</v>
      </c>
      <c r="U23" s="384">
        <f t="shared" si="17"/>
        <v>2.5265112533333332</v>
      </c>
      <c r="V23" s="379">
        <v>0.04</v>
      </c>
      <c r="W23" s="384">
        <f t="shared" si="8"/>
        <v>0.1052713022222224</v>
      </c>
      <c r="Y23" s="385">
        <f t="shared" si="1"/>
        <v>0.45200000000000001</v>
      </c>
      <c r="Z23" s="386">
        <f t="shared" si="2"/>
        <v>1.1490844444444446</v>
      </c>
      <c r="AA23" s="386">
        <f t="shared" si="3"/>
        <v>0</v>
      </c>
      <c r="AB23" s="386">
        <f t="shared" si="4"/>
        <v>1.6010844444444445</v>
      </c>
      <c r="AC23" s="395">
        <f t="shared" si="5"/>
        <v>0.92542680888888884</v>
      </c>
      <c r="AD23" s="391"/>
      <c r="AE23" s="391"/>
      <c r="AF23" s="391"/>
    </row>
    <row r="24" spans="2:32" s="120" customFormat="1" ht="26.1" customHeight="1">
      <c r="B24" s="361"/>
      <c r="C24" s="362" t="s">
        <v>1033</v>
      </c>
      <c r="D24" s="362" t="s">
        <v>1034</v>
      </c>
      <c r="E24" s="363" t="s">
        <v>1035</v>
      </c>
      <c r="F24" s="623" t="s">
        <v>979</v>
      </c>
      <c r="G24" s="409" t="s">
        <v>45</v>
      </c>
      <c r="H24" s="725">
        <v>31.2</v>
      </c>
      <c r="I24" s="362">
        <v>1</v>
      </c>
      <c r="J24" s="391">
        <v>1</v>
      </c>
      <c r="K24" s="718">
        <v>11.25</v>
      </c>
      <c r="L24" s="726">
        <v>0.28000000000000003</v>
      </c>
      <c r="M24" s="720">
        <v>1.8</v>
      </c>
      <c r="N24" s="727"/>
      <c r="O24" s="721">
        <f>IF(I24&gt;0, ((J24*K24*(1+L24) + M24)*H24/I24/3600)+N24, 0)</f>
        <v>0.1404</v>
      </c>
      <c r="P24" s="722">
        <f t="shared" si="14"/>
        <v>9.3635999999999981</v>
      </c>
      <c r="Q24" s="723">
        <f>IF(I24&gt;0,((J24*K24*(1+L24) + M24+ P24)*H24/I24/3600)+N24, 0)</f>
        <v>0.22155119999999998</v>
      </c>
      <c r="R24" s="728" t="s">
        <v>45</v>
      </c>
      <c r="S24" s="630">
        <v>1</v>
      </c>
      <c r="T24" s="724">
        <v>1</v>
      </c>
      <c r="U24" s="723">
        <f>Q24*S24*T24</f>
        <v>0.22155119999999998</v>
      </c>
      <c r="V24" s="379">
        <v>6.4000000000000001E-2</v>
      </c>
      <c r="W24" s="723">
        <f>U24*(1/(1-V24)-1)</f>
        <v>1.5148799999999994E-2</v>
      </c>
      <c r="Y24" s="385"/>
      <c r="Z24" s="386"/>
      <c r="AA24" s="386"/>
      <c r="AB24" s="386"/>
      <c r="AC24" s="395"/>
      <c r="AD24" s="391"/>
      <c r="AE24" s="391"/>
      <c r="AF24" s="391"/>
    </row>
    <row r="25" spans="2:32" s="120" customFormat="1" ht="26.1" customHeight="1">
      <c r="B25" s="361"/>
      <c r="C25" s="362"/>
      <c r="D25" s="362"/>
      <c r="E25" s="363"/>
      <c r="F25" s="623"/>
      <c r="G25" s="409"/>
      <c r="H25" s="725"/>
      <c r="I25" s="362"/>
      <c r="J25" s="391"/>
      <c r="K25" s="718"/>
      <c r="L25" s="726"/>
      <c r="M25" s="720"/>
      <c r="N25" s="727"/>
      <c r="O25" s="721"/>
      <c r="P25" s="722"/>
      <c r="Q25" s="723"/>
      <c r="R25" s="728"/>
      <c r="S25" s="630"/>
      <c r="T25" s="724"/>
      <c r="U25" s="723"/>
      <c r="V25" s="379"/>
      <c r="W25" s="723"/>
      <c r="Y25" s="385"/>
      <c r="Z25" s="386"/>
      <c r="AA25" s="386"/>
      <c r="AB25" s="386"/>
      <c r="AC25" s="395"/>
      <c r="AD25" s="391"/>
      <c r="AE25" s="391"/>
      <c r="AF25" s="391"/>
    </row>
    <row r="26" spans="2:32" s="120" customFormat="1" ht="26.1" customHeight="1">
      <c r="B26" s="361"/>
      <c r="C26" s="362"/>
      <c r="D26" s="362" t="s">
        <v>1044</v>
      </c>
      <c r="E26" s="363" t="s">
        <v>1046</v>
      </c>
      <c r="F26" s="361" t="s">
        <v>972</v>
      </c>
      <c r="G26" s="409" t="s">
        <v>45</v>
      </c>
      <c r="H26" s="362">
        <f>54*0+56</f>
        <v>56</v>
      </c>
      <c r="I26" s="362">
        <v>2</v>
      </c>
      <c r="J26" s="391">
        <v>0.33</v>
      </c>
      <c r="K26" s="391">
        <v>29.48</v>
      </c>
      <c r="L26" s="410">
        <v>0.33439999999999998</v>
      </c>
      <c r="M26" s="411">
        <f t="shared" ref="M26:M27" si="18">16.71*0+0.73*60</f>
        <v>43.8</v>
      </c>
      <c r="N26" s="411"/>
      <c r="O26" s="401">
        <f t="shared" ref="O26:O32" si="19">IF(I26&gt;0, ((J26*K26*(1+L26) + M26)*H26/I26/3600)+N26, 0)</f>
        <v>0.44163448746666661</v>
      </c>
      <c r="P26" s="421">
        <f>(K26*(1+L26)+M26)*$P$10</f>
        <v>63.850070016000004</v>
      </c>
      <c r="Q26" s="384">
        <f t="shared" ref="Q26:Q32" si="20">IF(I26&gt;0,((J26*K26*(1+L26) + M26+ P26)*H26/I26/3600)+N26, 0)</f>
        <v>0.93824614314666666</v>
      </c>
      <c r="R26" s="422" t="s">
        <v>45</v>
      </c>
      <c r="S26" s="368">
        <v>1</v>
      </c>
      <c r="T26" s="423">
        <v>1</v>
      </c>
      <c r="U26" s="384">
        <f t="shared" ref="U26:U32" si="21">Q26*S26*T26</f>
        <v>0.93824614314666666</v>
      </c>
      <c r="V26" s="379">
        <v>0.04</v>
      </c>
      <c r="W26" s="384">
        <f t="shared" ref="W26:W32" si="22">U26*(1/(1-V26)-1)</f>
        <v>3.9093589297777849E-2</v>
      </c>
      <c r="Y26" s="385"/>
      <c r="Z26" s="386"/>
      <c r="AA26" s="386"/>
      <c r="AB26" s="386"/>
      <c r="AC26" s="395"/>
      <c r="AD26" s="391"/>
      <c r="AE26" s="391"/>
      <c r="AF26" s="391"/>
    </row>
    <row r="27" spans="2:32" s="120" customFormat="1" ht="26.1" customHeight="1">
      <c r="B27" s="361"/>
      <c r="C27" s="362"/>
      <c r="D27" s="362" t="s">
        <v>1045</v>
      </c>
      <c r="E27" s="363" t="s">
        <v>1046</v>
      </c>
      <c r="F27" s="361" t="s">
        <v>972</v>
      </c>
      <c r="G27" s="409" t="s">
        <v>45</v>
      </c>
      <c r="H27" s="362">
        <v>2700</v>
      </c>
      <c r="I27" s="362">
        <v>3000</v>
      </c>
      <c r="J27" s="391">
        <v>2</v>
      </c>
      <c r="K27" s="391">
        <v>29.48</v>
      </c>
      <c r="L27" s="410">
        <v>0.33439999999999998</v>
      </c>
      <c r="M27" s="411">
        <f t="shared" si="18"/>
        <v>43.8</v>
      </c>
      <c r="N27" s="411"/>
      <c r="O27" s="401">
        <f t="shared" si="19"/>
        <v>3.0619055999999999E-2</v>
      </c>
      <c r="P27" s="421">
        <f t="shared" ref="P27:P32" si="23">(K27*(1+L27)+M27)*$P$10</f>
        <v>63.850070016000004</v>
      </c>
      <c r="Q27" s="384">
        <f t="shared" si="20"/>
        <v>4.6581573504000003E-2</v>
      </c>
      <c r="R27" s="422" t="s">
        <v>45</v>
      </c>
      <c r="S27" s="368">
        <v>1</v>
      </c>
      <c r="T27" s="423">
        <v>1</v>
      </c>
      <c r="U27" s="384">
        <f t="shared" si="21"/>
        <v>4.6581573504000003E-2</v>
      </c>
      <c r="V27" s="379"/>
      <c r="W27" s="384">
        <f t="shared" si="22"/>
        <v>0</v>
      </c>
      <c r="Y27" s="385"/>
      <c r="Z27" s="386"/>
      <c r="AA27" s="386"/>
      <c r="AB27" s="386"/>
      <c r="AC27" s="395"/>
      <c r="AD27" s="391"/>
      <c r="AE27" s="391"/>
      <c r="AF27" s="391"/>
    </row>
    <row r="28" spans="2:32" s="120" customFormat="1" ht="26.1" customHeight="1">
      <c r="B28" s="361"/>
      <c r="C28" s="362"/>
      <c r="D28" s="713"/>
      <c r="E28" s="363"/>
      <c r="F28" s="361"/>
      <c r="G28" s="409"/>
      <c r="H28" s="362"/>
      <c r="I28" s="362"/>
      <c r="J28" s="391"/>
      <c r="K28" s="391"/>
      <c r="L28" s="410"/>
      <c r="M28" s="362"/>
      <c r="N28" s="411"/>
      <c r="O28" s="401">
        <f t="shared" si="19"/>
        <v>0</v>
      </c>
      <c r="P28" s="709">
        <f t="shared" si="23"/>
        <v>0</v>
      </c>
      <c r="Q28" s="384">
        <f t="shared" si="20"/>
        <v>0</v>
      </c>
      <c r="R28" s="422"/>
      <c r="S28" s="368"/>
      <c r="T28" s="423"/>
      <c r="U28" s="384">
        <f t="shared" si="21"/>
        <v>0</v>
      </c>
      <c r="V28" s="379"/>
      <c r="W28" s="384">
        <f t="shared" si="22"/>
        <v>0</v>
      </c>
      <c r="Y28" s="385"/>
      <c r="Z28" s="386"/>
      <c r="AA28" s="386"/>
      <c r="AB28" s="386"/>
      <c r="AC28" s="395"/>
      <c r="AD28" s="391"/>
      <c r="AE28" s="391"/>
      <c r="AF28" s="391"/>
    </row>
    <row r="29" spans="2:32" s="120" customFormat="1" ht="26.1" customHeight="1">
      <c r="B29" s="361"/>
      <c r="C29" s="362"/>
      <c r="D29" s="680" t="s">
        <v>1036</v>
      </c>
      <c r="E29" s="696" t="s">
        <v>1040</v>
      </c>
      <c r="F29" s="703" t="s">
        <v>972</v>
      </c>
      <c r="G29" s="699" t="s">
        <v>45</v>
      </c>
      <c r="H29" s="704">
        <v>7.5</v>
      </c>
      <c r="I29" s="680">
        <v>1</v>
      </c>
      <c r="J29" s="705">
        <v>1</v>
      </c>
      <c r="K29" s="705">
        <v>29.48</v>
      </c>
      <c r="L29" s="706">
        <v>0.33439999999999998</v>
      </c>
      <c r="M29" s="707">
        <v>0.6</v>
      </c>
      <c r="N29" s="707"/>
      <c r="O29" s="708">
        <f t="shared" si="19"/>
        <v>8.3204399999999998E-2</v>
      </c>
      <c r="P29" s="709">
        <f t="shared" si="23"/>
        <v>30.672470016000002</v>
      </c>
      <c r="Q29" s="701">
        <f t="shared" si="20"/>
        <v>0.1471053792</v>
      </c>
      <c r="R29" s="700" t="s">
        <v>45</v>
      </c>
      <c r="S29" s="697">
        <v>1</v>
      </c>
      <c r="T29" s="710">
        <v>1</v>
      </c>
      <c r="U29" s="701">
        <f t="shared" si="21"/>
        <v>0.1471053792</v>
      </c>
      <c r="V29" s="698">
        <v>0.02</v>
      </c>
      <c r="W29" s="701">
        <f t="shared" si="22"/>
        <v>3.0021505959183705E-3</v>
      </c>
      <c r="Y29" s="385"/>
      <c r="Z29" s="386"/>
      <c r="AA29" s="386"/>
      <c r="AB29" s="386"/>
      <c r="AC29" s="395"/>
      <c r="AD29" s="391"/>
      <c r="AE29" s="391"/>
      <c r="AF29" s="391"/>
    </row>
    <row r="30" spans="2:32" s="120" customFormat="1" ht="26.1" customHeight="1">
      <c r="B30" s="361"/>
      <c r="C30" s="362"/>
      <c r="D30" s="680" t="s">
        <v>1037</v>
      </c>
      <c r="E30" s="696" t="s">
        <v>1037</v>
      </c>
      <c r="F30" s="703" t="s">
        <v>972</v>
      </c>
      <c r="G30" s="699" t="s">
        <v>45</v>
      </c>
      <c r="H30" s="704">
        <v>23.8</v>
      </c>
      <c r="I30" s="680">
        <v>1</v>
      </c>
      <c r="J30" s="705">
        <v>1</v>
      </c>
      <c r="K30" s="705">
        <v>29.48</v>
      </c>
      <c r="L30" s="706">
        <v>0.33439999999999998</v>
      </c>
      <c r="M30" s="707">
        <v>9.6</v>
      </c>
      <c r="N30" s="707"/>
      <c r="O30" s="708">
        <f t="shared" si="19"/>
        <v>0.32353529600000003</v>
      </c>
      <c r="P30" s="709">
        <f t="shared" si="23"/>
        <v>37.584470016000004</v>
      </c>
      <c r="Q30" s="701">
        <f t="shared" si="20"/>
        <v>0.57201040332800002</v>
      </c>
      <c r="R30" s="700" t="s">
        <v>45</v>
      </c>
      <c r="S30" s="697">
        <v>1</v>
      </c>
      <c r="T30" s="710">
        <v>1</v>
      </c>
      <c r="U30" s="701">
        <f t="shared" si="21"/>
        <v>0.57201040332800002</v>
      </c>
      <c r="V30" s="698">
        <v>0.02</v>
      </c>
      <c r="W30" s="701">
        <f t="shared" si="22"/>
        <v>1.1673681700571441E-2</v>
      </c>
      <c r="Y30" s="385"/>
      <c r="Z30" s="386"/>
      <c r="AA30" s="386"/>
      <c r="AB30" s="386"/>
      <c r="AC30" s="395"/>
      <c r="AD30" s="391"/>
      <c r="AE30" s="391"/>
      <c r="AF30" s="391"/>
    </row>
    <row r="31" spans="2:32" s="120" customFormat="1" ht="26.1" customHeight="1">
      <c r="B31" s="361"/>
      <c r="C31" s="362"/>
      <c r="D31" s="680" t="s">
        <v>1038</v>
      </c>
      <c r="E31" s="696" t="s">
        <v>1041</v>
      </c>
      <c r="F31" s="703" t="s">
        <v>972</v>
      </c>
      <c r="G31" s="699" t="s">
        <v>45</v>
      </c>
      <c r="H31" s="704">
        <v>95</v>
      </c>
      <c r="I31" s="680">
        <v>4</v>
      </c>
      <c r="J31" s="705">
        <v>1</v>
      </c>
      <c r="K31" s="705">
        <v>29.48</v>
      </c>
      <c r="L31" s="706">
        <v>0.33439999999999998</v>
      </c>
      <c r="M31" s="707">
        <v>67.8</v>
      </c>
      <c r="N31" s="707"/>
      <c r="O31" s="708">
        <f t="shared" si="19"/>
        <v>0.70681393333333342</v>
      </c>
      <c r="P31" s="709">
        <f t="shared" si="23"/>
        <v>82.282070016000006</v>
      </c>
      <c r="Q31" s="701">
        <f t="shared" si="20"/>
        <v>1.2496470341333332</v>
      </c>
      <c r="R31" s="700" t="s">
        <v>45</v>
      </c>
      <c r="S31" s="697">
        <v>1</v>
      </c>
      <c r="T31" s="710">
        <v>1</v>
      </c>
      <c r="U31" s="701">
        <f t="shared" si="21"/>
        <v>1.2496470341333332</v>
      </c>
      <c r="V31" s="698">
        <v>0.02</v>
      </c>
      <c r="W31" s="701">
        <f t="shared" si="22"/>
        <v>2.5503000696598666E-2</v>
      </c>
      <c r="Y31" s="385"/>
      <c r="Z31" s="386"/>
      <c r="AA31" s="386"/>
      <c r="AB31" s="386"/>
      <c r="AC31" s="395"/>
      <c r="AD31" s="391"/>
      <c r="AE31" s="391"/>
      <c r="AF31" s="391"/>
    </row>
    <row r="32" spans="2:32" s="120" customFormat="1" ht="26.1" customHeight="1">
      <c r="B32" s="361"/>
      <c r="C32" s="362"/>
      <c r="D32" s="680" t="s">
        <v>1039</v>
      </c>
      <c r="E32" s="696" t="s">
        <v>1042</v>
      </c>
      <c r="F32" s="703" t="s">
        <v>972</v>
      </c>
      <c r="G32" s="699" t="s">
        <v>45</v>
      </c>
      <c r="H32" s="704">
        <v>33.700000000000003</v>
      </c>
      <c r="I32" s="680">
        <v>1</v>
      </c>
      <c r="J32" s="705">
        <v>1</v>
      </c>
      <c r="K32" s="705">
        <v>29.48</v>
      </c>
      <c r="L32" s="706">
        <v>0.33439999999999998</v>
      </c>
      <c r="M32" s="707">
        <v>0.6</v>
      </c>
      <c r="N32" s="707"/>
      <c r="O32" s="708">
        <f t="shared" si="19"/>
        <v>0.37386510400000006</v>
      </c>
      <c r="P32" s="709">
        <f t="shared" si="23"/>
        <v>30.672470016000002</v>
      </c>
      <c r="Q32" s="701">
        <f t="shared" si="20"/>
        <v>0.66099350387200007</v>
      </c>
      <c r="R32" s="700" t="s">
        <v>45</v>
      </c>
      <c r="S32" s="697">
        <v>1</v>
      </c>
      <c r="T32" s="710">
        <v>1</v>
      </c>
      <c r="U32" s="701">
        <f t="shared" si="21"/>
        <v>0.66099350387200007</v>
      </c>
      <c r="V32" s="698">
        <v>0.02</v>
      </c>
      <c r="W32" s="701">
        <f t="shared" si="22"/>
        <v>1.3489663344326547E-2</v>
      </c>
      <c r="Y32" s="385">
        <f t="shared" si="1"/>
        <v>0.3682484373333334</v>
      </c>
      <c r="Z32" s="386">
        <f t="shared" si="2"/>
        <v>5.6166666666666674E-3</v>
      </c>
      <c r="AA32" s="386">
        <f t="shared" si="3"/>
        <v>0</v>
      </c>
      <c r="AB32" s="386">
        <f t="shared" si="4"/>
        <v>0.37386510400000006</v>
      </c>
      <c r="AC32" s="395">
        <f t="shared" si="5"/>
        <v>0.28712839987200001</v>
      </c>
      <c r="AD32" s="391"/>
      <c r="AE32" s="391"/>
      <c r="AF32" s="391"/>
    </row>
    <row r="33" spans="1:32" s="120" customFormat="1" ht="26.1" customHeight="1" thickBot="1">
      <c r="B33" s="412"/>
      <c r="C33" s="413"/>
      <c r="D33" s="414"/>
      <c r="E33" s="415"/>
      <c r="F33" s="416"/>
      <c r="G33" s="417"/>
      <c r="H33" s="414"/>
      <c r="I33" s="414"/>
      <c r="J33" s="418"/>
      <c r="K33" s="418"/>
      <c r="L33" s="417"/>
      <c r="M33" s="414"/>
      <c r="N33" s="419"/>
      <c r="O33" s="402">
        <f t="shared" ref="O33" si="24">IF(I33&gt;0, ((J33*K33*(1+L33) + M33)*H33/I33/3600)+N33, 0)</f>
        <v>0</v>
      </c>
      <c r="P33" s="419"/>
      <c r="Q33" s="399">
        <f t="shared" si="0"/>
        <v>0</v>
      </c>
      <c r="R33" s="424"/>
      <c r="S33" s="425"/>
      <c r="T33" s="426"/>
      <c r="U33" s="399">
        <f t="shared" ref="U33" si="25">Q33*S33*T33</f>
        <v>0</v>
      </c>
      <c r="V33" s="428"/>
      <c r="W33" s="399">
        <f t="shared" ref="W33" si="26">U33*(1/(1-V33)-1)</f>
        <v>0</v>
      </c>
      <c r="Y33" s="396">
        <f t="shared" si="1"/>
        <v>0</v>
      </c>
      <c r="Z33" s="397">
        <f t="shared" si="2"/>
        <v>0</v>
      </c>
      <c r="AA33" s="397" t="str">
        <f t="shared" si="3"/>
        <v/>
      </c>
      <c r="AB33" s="397">
        <f t="shared" si="4"/>
        <v>0</v>
      </c>
      <c r="AC33" s="398">
        <f t="shared" si="5"/>
        <v>0</v>
      </c>
      <c r="AD33" s="391"/>
      <c r="AE33" s="391"/>
      <c r="AF33" s="391"/>
    </row>
    <row r="34" spans="1:32" s="59" customFormat="1" ht="12" customHeight="1" thickBot="1"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36"/>
      <c r="O34" s="124"/>
      <c r="P34" s="122"/>
      <c r="Q34" s="122"/>
      <c r="R34" s="122"/>
      <c r="S34" s="122"/>
      <c r="T34" s="122"/>
    </row>
    <row r="35" spans="1:32" ht="17.100000000000001" customHeight="1">
      <c r="A35" s="59"/>
      <c r="B35" s="125" t="s">
        <v>58</v>
      </c>
      <c r="C35" s="127"/>
      <c r="D35" s="127"/>
      <c r="E35" s="127"/>
      <c r="F35" s="127"/>
      <c r="G35" s="127"/>
      <c r="H35" s="127"/>
      <c r="I35" s="127"/>
      <c r="J35" s="127"/>
      <c r="K35" s="128"/>
      <c r="L35" s="315" t="s">
        <v>384</v>
      </c>
      <c r="M35" s="316" t="s">
        <v>376</v>
      </c>
      <c r="N35" s="316" t="s">
        <v>413</v>
      </c>
      <c r="O35" s="316" t="s">
        <v>385</v>
      </c>
      <c r="P35" s="128" t="s">
        <v>417</v>
      </c>
      <c r="Q35" s="541"/>
      <c r="R35" s="541"/>
      <c r="S35" s="541"/>
      <c r="T35" s="541"/>
      <c r="U35" s="128" t="s">
        <v>373</v>
      </c>
      <c r="V35" s="541"/>
      <c r="W35" s="129" t="s">
        <v>383</v>
      </c>
    </row>
    <row r="36" spans="1:32" ht="17.100000000000001" customHeight="1">
      <c r="B36" s="131"/>
      <c r="C36" s="317"/>
      <c r="D36" s="317"/>
      <c r="E36" s="317"/>
      <c r="F36" s="317"/>
      <c r="G36" s="317"/>
      <c r="H36" s="317"/>
      <c r="I36" s="317"/>
      <c r="J36" s="317"/>
      <c r="K36" s="135" t="str">
        <f>Zusammenfassung!$C$26</f>
        <v>EUR</v>
      </c>
      <c r="L36" s="404">
        <f ca="1">SUMIF(INDIRECT("$R12:$R"&amp;EndZProcesses),$K36,INDIRECT("Y12:Y"&amp;EndZProcesses))</f>
        <v>1.1469151040000001</v>
      </c>
      <c r="M36" s="404">
        <f ca="1">SUMIF(INDIRECT("$R12:$R"&amp;EndZProcesses),$K36,INDIRECT("Z12:Z"&amp;EndZProcesses))</f>
        <v>1.700280740740741</v>
      </c>
      <c r="N36" s="404">
        <f ca="1">SUMIF(INDIRECT("$R12:$R"&amp;EndZProcesses),$K36,INDIRECT("AA12:AA"&amp;EndZProcesses))</f>
        <v>0</v>
      </c>
      <c r="O36" s="404">
        <f ca="1">SUMIF(INDIRECT("$R12:$R"&amp;EndZProcesses),$K36,INDIRECT("AB12:AB"&amp;EndZProcesses))</f>
        <v>2.8471958447407411</v>
      </c>
      <c r="P36" s="404">
        <f ca="1">SUMIF(INDIRECT("$R12:$R"&amp;EndZProcesses),$K36,INDIRECT("AC12:AC"&amp;EndZProcesses))</f>
        <v>1.6704735680201481</v>
      </c>
      <c r="Q36" s="543"/>
      <c r="R36" s="544"/>
      <c r="S36" s="544"/>
      <c r="T36" s="545"/>
      <c r="U36" s="404">
        <f ca="1">SUMIF(INDIRECT("$R12:$R"&amp;EndZProcesses),$K36,INDIRECT("U12:U"&amp;EndZProcesses))</f>
        <v>8.4243587960728874</v>
      </c>
      <c r="V36" s="554"/>
      <c r="W36" s="403">
        <f ca="1">SUMIF(INDIRECT("$R12:$R"&amp;EndZProcesses),$K36,INDIRECT("W12:W"&amp;EndZProcesses))</f>
        <v>0.56085059256731273</v>
      </c>
    </row>
    <row r="37" spans="1:32" ht="17.100000000000001" customHeight="1">
      <c r="B37" s="131"/>
      <c r="C37" s="317"/>
      <c r="D37" s="317"/>
      <c r="E37" s="317"/>
      <c r="F37" s="317"/>
      <c r="G37" s="317"/>
      <c r="H37" s="317"/>
      <c r="I37" s="317"/>
      <c r="J37" s="317"/>
      <c r="K37" s="140">
        <f>Zusammenfassung!$C$27</f>
        <v>0</v>
      </c>
      <c r="L37" s="405">
        <f ca="1">SUMIF(INDIRECT("$R12:$R"&amp;EndZProcesses),$K37,INDIRECT("Y12:Y"&amp;EndZProcesses))</f>
        <v>0</v>
      </c>
      <c r="M37" s="405">
        <f ca="1">SUMIF(INDIRECT("$R12:$R"&amp;EndZProcesses),$K37,INDIRECT("Z12:Z"&amp;EndZProcesses))</f>
        <v>0</v>
      </c>
      <c r="N37" s="405">
        <f ca="1">SUMIF(INDIRECT("$R12:$R"&amp;EndZProcesses),$K37,INDIRECT("AA12:AA"&amp;EndZProcesses))</f>
        <v>0</v>
      </c>
      <c r="O37" s="405">
        <f ca="1">SUMIF(INDIRECT("$R12:$R"&amp;EndZProcesses),$K37,INDIRECT("AB12:AB"&amp;EndZProcesses))</f>
        <v>0</v>
      </c>
      <c r="P37" s="405">
        <f ca="1">SUMIF(INDIRECT("$R12:$R"&amp;EndZProcesses),$K37,INDIRECT("AC12:AC"&amp;EndZProcesses))</f>
        <v>0</v>
      </c>
      <c r="Q37" s="543"/>
      <c r="R37" s="544"/>
      <c r="S37" s="544"/>
      <c r="T37" s="546"/>
      <c r="U37" s="405">
        <f ca="1">SUMIF(INDIRECT("$R12:$R"&amp;EndZProcesses),$K37,INDIRECT("U12:U"&amp;EndZProcesses))</f>
        <v>0</v>
      </c>
      <c r="V37" s="554"/>
      <c r="W37" s="518">
        <f ca="1">SUMIF(INDIRECT("$R12:$R"&amp;EndZProcesses),$K37,INDIRECT("W12:W"&amp;EndZProcesses))</f>
        <v>0</v>
      </c>
    </row>
    <row r="38" spans="1:32" ht="17.100000000000001" customHeight="1" thickBot="1">
      <c r="B38" s="304" t="s">
        <v>411</v>
      </c>
      <c r="C38" s="318"/>
      <c r="D38" s="318"/>
      <c r="E38" s="318"/>
      <c r="F38" s="318"/>
      <c r="G38" s="318"/>
      <c r="H38" s="318"/>
      <c r="I38" s="318"/>
      <c r="J38" s="318"/>
      <c r="K38" s="146">
        <f>Zusammenfassung!$C$28</f>
        <v>0</v>
      </c>
      <c r="L38" s="520">
        <f ca="1">SUMIF(INDIRECT("$R12:$R"&amp;EndZProcesses),$K38,INDIRECT("Y12:Y"&amp;EndZProcesses))</f>
        <v>0</v>
      </c>
      <c r="M38" s="520">
        <f ca="1">SUMIF(INDIRECT("$R12:$R"&amp;EndZProcesses),$K38,INDIRECT("Z12:Z"&amp;EndZProcesses))</f>
        <v>0</v>
      </c>
      <c r="N38" s="520">
        <f ca="1">SUMIF(INDIRECT("$R12:$R"&amp;EndZProcesses),$K38,INDIRECT("AA12:AA"&amp;EndZProcesses))</f>
        <v>0</v>
      </c>
      <c r="O38" s="520">
        <f ca="1">SUMIF(INDIRECT("$R12:$R"&amp;EndZProcesses),$K38,INDIRECT("AB12:AB"&amp;EndZProcesses))</f>
        <v>0</v>
      </c>
      <c r="P38" s="520">
        <f ca="1">SUMIF(INDIRECT("$R12:$R"&amp;EndZProcesses),$K38,INDIRECT("AC12:AC"&amp;EndZProcesses))</f>
        <v>0</v>
      </c>
      <c r="Q38" s="542"/>
      <c r="R38" s="542"/>
      <c r="S38" s="542"/>
      <c r="T38" s="542"/>
      <c r="U38" s="520">
        <f ca="1">SUMIF(INDIRECT("$R12:$R"&amp;EndZProcesses),$K38,INDIRECT("U12:U"&amp;EndZProcesses))</f>
        <v>0</v>
      </c>
      <c r="V38" s="542"/>
      <c r="W38" s="519">
        <f ca="1">SUMIF(INDIRECT("$R12:$R"&amp;EndZProcesses),$K38,INDIRECT("W12:W"&amp;EndZProcesses))</f>
        <v>0</v>
      </c>
    </row>
    <row r="39" spans="1:32" ht="7.5" customHeight="1"/>
  </sheetData>
  <sheetProtection insertRows="0" deleteRows="0"/>
  <mergeCells count="14">
    <mergeCell ref="B4:C4"/>
    <mergeCell ref="R5:W5"/>
    <mergeCell ref="R6:W6"/>
    <mergeCell ref="R7:W7"/>
    <mergeCell ref="R8:W8"/>
    <mergeCell ref="D5:E5"/>
    <mergeCell ref="D6:E6"/>
    <mergeCell ref="D7:E7"/>
    <mergeCell ref="D8:E8"/>
    <mergeCell ref="I5:O5"/>
    <mergeCell ref="I6:O6"/>
    <mergeCell ref="I7:O7"/>
    <mergeCell ref="I8:O8"/>
    <mergeCell ref="F4:H4"/>
  </mergeCells>
  <conditionalFormatting sqref="L37:P37 U37 W37">
    <cfRule type="expression" dxfId="26" priority="12" stopIfTrue="1">
      <formula>$K$37=0</formula>
    </cfRule>
  </conditionalFormatting>
  <conditionalFormatting sqref="L38:P38 U38 W38">
    <cfRule type="expression" dxfId="25" priority="19" stopIfTrue="1">
      <formula>$K$38=0</formula>
    </cfRule>
  </conditionalFormatting>
  <dataValidations count="4">
    <dataValidation type="list" allowBlank="1" showInputMessage="1" showErrorMessage="1" sqref="IO34:IP34 IM12:IV33" xr:uid="{00000000-0002-0000-0200-000000000000}">
      <formula1>BAUTEILKENNUNG</formula1>
    </dataValidation>
    <dataValidation type="list" allowBlank="1" showInputMessage="1" showErrorMessage="1" sqref="G33" xr:uid="{00000000-0002-0000-0200-000002000000}">
      <formula1>listZulässigeAngebotswährungen</formula1>
    </dataValidation>
    <dataValidation type="list" allowBlank="1" showInputMessage="1" showErrorMessage="1" sqref="R12:R33" xr:uid="{00000000-0002-0000-0200-000001000000}">
      <formula1>listAngebotsWährungen</formula1>
    </dataValidation>
    <dataValidation type="list" allowBlank="1" showInputMessage="1" showErrorMessage="1" sqref="G12:G32" xr:uid="{00000000-0002-0000-0200-000003000000}">
      <formula1>listZulässigeBeschaffungswährungen</formula1>
    </dataValidation>
  </dataValidations>
  <hyperlinks>
    <hyperlink ref="U2" r:id="rId1" xr:uid="{00000000-0004-0000-0200-000000000000}"/>
  </hyperlinks>
  <pageMargins left="0.39370078740157483" right="0.39370078740157483" top="0.39370078740157483" bottom="0.39370078740157483" header="0.31496062992125984" footer="0.31496062992125984"/>
  <pageSetup paperSize="9" scale="56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04SBM">
    <tabColor theme="6" tint="0.39997558519241921"/>
    <pageSetUpPr fitToPage="1"/>
  </sheetPr>
  <dimension ref="B1:AD37"/>
  <sheetViews>
    <sheetView showGridLines="0" showZeros="0" topLeftCell="A7" zoomScale="85" zoomScaleNormal="85" workbookViewId="0">
      <selection activeCell="U14" sqref="U14:U30"/>
    </sheetView>
  </sheetViews>
  <sheetFormatPr baseColWidth="10" defaultColWidth="11.44140625" defaultRowHeight="13.8"/>
  <cols>
    <col min="1" max="1" width="1.44140625" style="91" customWidth="1"/>
    <col min="2" max="2" width="5.6640625" style="91" customWidth="1"/>
    <col min="3" max="3" width="20.44140625" style="91" customWidth="1"/>
    <col min="4" max="4" width="5.6640625" style="157" customWidth="1"/>
    <col min="5" max="6" width="22.6640625" style="157" customWidth="1"/>
    <col min="7" max="12" width="8.33203125" style="91" customWidth="1"/>
    <col min="13" max="13" width="15.6640625" style="91" customWidth="1"/>
    <col min="14" max="14" width="5.6640625" style="91" customWidth="1"/>
    <col min="15" max="15" width="13.33203125" style="91" customWidth="1"/>
    <col min="16" max="16" width="5.6640625" style="91" customWidth="1"/>
    <col min="17" max="18" width="8.33203125" style="91" customWidth="1"/>
    <col min="19" max="20" width="13.33203125" style="91" customWidth="1"/>
    <col min="21" max="21" width="15.33203125" style="91" bestFit="1" customWidth="1"/>
    <col min="22" max="22" width="1" style="59" customWidth="1"/>
    <col min="23" max="23" width="14" style="91" hidden="1" customWidth="1"/>
    <col min="24" max="24" width="8.44140625" style="91" hidden="1" customWidth="1"/>
    <col min="25" max="25" width="1.44140625" style="133" customWidth="1"/>
    <col min="26" max="26" width="18.109375" style="91" bestFit="1" customWidth="1"/>
    <col min="27" max="16384" width="11.44140625" style="91"/>
  </cols>
  <sheetData>
    <row r="1" spans="2:30" s="285" customFormat="1" ht="7.5" customHeight="1" thickBot="1">
      <c r="C1" s="285">
        <v>8</v>
      </c>
      <c r="D1" s="285">
        <v>5</v>
      </c>
      <c r="E1" s="285">
        <v>22</v>
      </c>
      <c r="G1" s="285">
        <v>7.5</v>
      </c>
      <c r="H1" s="285">
        <v>7.5</v>
      </c>
      <c r="I1" s="285">
        <v>7.5</v>
      </c>
      <c r="J1" s="285">
        <v>7.5</v>
      </c>
      <c r="L1" s="285">
        <v>7.5</v>
      </c>
      <c r="M1" s="285">
        <v>15</v>
      </c>
      <c r="N1" s="285">
        <v>5</v>
      </c>
      <c r="O1" s="285">
        <v>12.5</v>
      </c>
      <c r="P1" s="285">
        <v>5</v>
      </c>
      <c r="Q1" s="286">
        <v>7.5</v>
      </c>
      <c r="R1" s="286">
        <v>7.5</v>
      </c>
      <c r="S1" s="286">
        <v>12.5</v>
      </c>
      <c r="T1" s="286">
        <v>12.5</v>
      </c>
      <c r="U1" s="285">
        <v>10</v>
      </c>
      <c r="V1" s="59"/>
      <c r="Y1" s="319"/>
    </row>
    <row r="2" spans="2:30" s="59" customFormat="1" ht="26.25" customHeight="1">
      <c r="B2" s="55" t="s">
        <v>1</v>
      </c>
      <c r="C2" s="55"/>
      <c r="D2" s="58"/>
      <c r="E2" s="58"/>
      <c r="F2" s="58"/>
      <c r="G2" s="55" t="s">
        <v>2</v>
      </c>
      <c r="H2" s="58"/>
      <c r="I2" s="60"/>
      <c r="J2" s="56"/>
      <c r="K2" s="56"/>
      <c r="L2" s="56"/>
      <c r="M2" s="56"/>
      <c r="N2" s="56"/>
      <c r="O2" s="56"/>
      <c r="P2" s="57" t="s">
        <v>46</v>
      </c>
      <c r="Q2" s="57"/>
      <c r="R2" s="56"/>
      <c r="S2" s="60"/>
      <c r="T2" s="654" t="s">
        <v>951</v>
      </c>
      <c r="U2" s="66"/>
      <c r="V2" s="64"/>
      <c r="Y2" s="138"/>
    </row>
    <row r="3" spans="2:30" s="59" customFormat="1" ht="17.399999999999999">
      <c r="B3" s="67" t="s">
        <v>500</v>
      </c>
      <c r="C3" s="67"/>
      <c r="D3" s="68"/>
      <c r="E3" s="68"/>
      <c r="F3" s="68"/>
      <c r="G3" s="70" t="s">
        <v>946</v>
      </c>
      <c r="H3" s="68"/>
      <c r="J3" s="71"/>
      <c r="K3" s="71"/>
      <c r="L3" s="71"/>
      <c r="M3" s="71"/>
      <c r="N3" s="71"/>
      <c r="O3" s="71"/>
      <c r="P3" s="72" t="s">
        <v>965</v>
      </c>
      <c r="Q3" s="65"/>
      <c r="R3" s="71"/>
      <c r="S3" s="71"/>
      <c r="T3" s="71"/>
      <c r="U3" s="73"/>
      <c r="V3" s="71"/>
      <c r="Y3" s="138"/>
    </row>
    <row r="4" spans="2:30" s="59" customFormat="1" ht="14.4" thickBot="1">
      <c r="B4" s="785" t="str">
        <f>+Zusammenfassung!B4</f>
        <v>QAF Version 8.4_01_01 © BMW AG</v>
      </c>
      <c r="C4" s="810"/>
      <c r="D4" s="810"/>
      <c r="E4" s="327"/>
      <c r="F4" s="327"/>
      <c r="G4" s="799" t="s">
        <v>949</v>
      </c>
      <c r="H4" s="800"/>
      <c r="I4" s="800"/>
      <c r="J4" s="75"/>
      <c r="K4" s="75"/>
      <c r="L4" s="75"/>
      <c r="M4" s="75"/>
      <c r="N4" s="75"/>
      <c r="O4" s="75"/>
      <c r="P4" s="147"/>
      <c r="Q4" s="75"/>
      <c r="R4" s="75"/>
      <c r="S4" s="75"/>
      <c r="T4" s="75"/>
      <c r="U4" s="76"/>
      <c r="V4" s="320"/>
      <c r="Y4" s="138"/>
    </row>
    <row r="5" spans="2:30" s="59" customFormat="1" ht="17.100000000000001" customHeight="1">
      <c r="B5" s="328" t="s">
        <v>53</v>
      </c>
      <c r="C5" s="328"/>
      <c r="D5" s="329"/>
      <c r="E5" s="787" t="str">
        <f>Zusammenfassung!$C5</f>
        <v>Henry Sebold</v>
      </c>
      <c r="F5" s="811"/>
      <c r="G5" s="328" t="s">
        <v>280</v>
      </c>
      <c r="H5" s="329"/>
      <c r="I5" s="329"/>
      <c r="J5" s="787" t="str">
        <f>Zusammenfassung!$I5</f>
        <v>HIB Trim Part Solutions GmbH</v>
      </c>
      <c r="K5" s="788"/>
      <c r="L5" s="788"/>
      <c r="M5" s="788"/>
      <c r="N5" s="788"/>
      <c r="O5" s="148" t="s">
        <v>6</v>
      </c>
      <c r="P5" s="148"/>
      <c r="Q5" s="149"/>
      <c r="R5" s="801" t="str">
        <f>Zusammenfassung!$M5</f>
        <v>FS_SA3_LL_Aluminuim_Mesh</v>
      </c>
      <c r="S5" s="788"/>
      <c r="T5" s="788"/>
      <c r="U5" s="789"/>
      <c r="Y5" s="138"/>
    </row>
    <row r="6" spans="2:30" s="59" customFormat="1" ht="17.100000000000001" customHeight="1">
      <c r="B6" s="150" t="s">
        <v>7</v>
      </c>
      <c r="C6" s="150"/>
      <c r="D6" s="151"/>
      <c r="E6" s="790" t="str">
        <f>HYPERLINK(CONCATENATE("mailto:",Zusammenfassung!C6),Zusammenfassung!C6)</f>
        <v>henry.sebold@nbhx-trim.com</v>
      </c>
      <c r="F6" s="808"/>
      <c r="G6" s="330" t="s">
        <v>8</v>
      </c>
      <c r="H6" s="151"/>
      <c r="I6" s="151"/>
      <c r="J6" s="793">
        <f>Zusammenfassung!$I6</f>
        <v>14537310</v>
      </c>
      <c r="K6" s="794"/>
      <c r="L6" s="794"/>
      <c r="M6" s="794"/>
      <c r="N6" s="794"/>
      <c r="O6" s="151" t="s">
        <v>9</v>
      </c>
      <c r="P6" s="151"/>
      <c r="Q6" s="152"/>
      <c r="R6" s="793">
        <f>Zusammenfassung!$M6</f>
        <v>0</v>
      </c>
      <c r="S6" s="794"/>
      <c r="T6" s="794"/>
      <c r="U6" s="795"/>
      <c r="Y6" s="138"/>
    </row>
    <row r="7" spans="2:30" s="59" customFormat="1" ht="17.100000000000001" customHeight="1">
      <c r="B7" s="150" t="s">
        <v>10</v>
      </c>
      <c r="C7" s="150"/>
      <c r="D7" s="151"/>
      <c r="E7" s="793" t="str">
        <f>Zusammenfassung!$C7</f>
        <v>+49 7251 722 427</v>
      </c>
      <c r="F7" s="808"/>
      <c r="G7" s="330" t="s">
        <v>11</v>
      </c>
      <c r="H7" s="151"/>
      <c r="I7" s="151"/>
      <c r="J7" s="793" t="str">
        <f>Zusammenfassung!$I7</f>
        <v>U06ff.</v>
      </c>
      <c r="K7" s="794"/>
      <c r="L7" s="794"/>
      <c r="M7" s="794"/>
      <c r="N7" s="794"/>
      <c r="O7" s="151" t="s">
        <v>12</v>
      </c>
      <c r="P7" s="151"/>
      <c r="Q7" s="152"/>
      <c r="R7" s="793">
        <f>Zusammenfassung!$M7</f>
        <v>0</v>
      </c>
      <c r="S7" s="794"/>
      <c r="T7" s="794"/>
      <c r="U7" s="795"/>
      <c r="Y7" s="138"/>
    </row>
    <row r="8" spans="2:30" s="59" customFormat="1" ht="17.100000000000001" customHeight="1" thickBot="1">
      <c r="B8" s="153" t="s">
        <v>13</v>
      </c>
      <c r="C8" s="153"/>
      <c r="D8" s="154"/>
      <c r="E8" s="796">
        <f>Zusammenfassung!$C8</f>
        <v>45169</v>
      </c>
      <c r="F8" s="809"/>
      <c r="G8" s="155" t="s">
        <v>14</v>
      </c>
      <c r="H8" s="154"/>
      <c r="I8" s="154"/>
      <c r="J8" s="803">
        <f>Zusammenfassung!$I8</f>
        <v>9638715</v>
      </c>
      <c r="K8" s="797"/>
      <c r="L8" s="797"/>
      <c r="M8" s="797"/>
      <c r="N8" s="797"/>
      <c r="O8" s="154" t="s">
        <v>15</v>
      </c>
      <c r="P8" s="154"/>
      <c r="Q8" s="156"/>
      <c r="R8" s="803">
        <f>Zusammenfassung!$M8</f>
        <v>0</v>
      </c>
      <c r="S8" s="797"/>
      <c r="T8" s="797"/>
      <c r="U8" s="798"/>
      <c r="Y8" s="138"/>
    </row>
    <row r="9" spans="2:30" ht="12" customHeight="1" thickBot="1"/>
    <row r="10" spans="2:30" s="157" customFormat="1" ht="15" customHeight="1" thickBot="1">
      <c r="B10" s="158"/>
      <c r="C10" s="99"/>
      <c r="D10" s="99"/>
      <c r="E10" s="99"/>
      <c r="F10" s="99"/>
      <c r="G10" s="99" t="s">
        <v>310</v>
      </c>
      <c r="H10" s="99"/>
      <c r="I10" s="99"/>
      <c r="J10" s="99"/>
      <c r="K10" s="99"/>
      <c r="L10" s="103"/>
      <c r="M10" s="159" t="s">
        <v>40</v>
      </c>
      <c r="N10" s="99"/>
      <c r="O10" s="103"/>
      <c r="P10" s="99"/>
      <c r="Q10" s="99"/>
      <c r="R10" s="99"/>
      <c r="S10" s="159" t="s">
        <v>37</v>
      </c>
      <c r="T10" s="99"/>
      <c r="U10" s="103"/>
      <c r="V10" s="672"/>
      <c r="W10" s="321"/>
      <c r="Y10" s="673"/>
    </row>
    <row r="11" spans="2:30" s="117" customFormat="1" ht="145.5" customHeight="1" thickBot="1">
      <c r="B11" s="264" t="s">
        <v>418</v>
      </c>
      <c r="C11" s="160" t="s">
        <v>396</v>
      </c>
      <c r="D11" s="664" t="s">
        <v>329</v>
      </c>
      <c r="E11" s="106" t="s">
        <v>320</v>
      </c>
      <c r="F11" s="114" t="s">
        <v>412</v>
      </c>
      <c r="G11" s="265" t="s">
        <v>393</v>
      </c>
      <c r="H11" s="104" t="s">
        <v>285</v>
      </c>
      <c r="I11" s="106" t="s">
        <v>286</v>
      </c>
      <c r="J11" s="106" t="s">
        <v>287</v>
      </c>
      <c r="K11" s="106" t="s">
        <v>647</v>
      </c>
      <c r="L11" s="297" t="s">
        <v>282</v>
      </c>
      <c r="M11" s="160" t="s">
        <v>56</v>
      </c>
      <c r="N11" s="298" t="s">
        <v>38</v>
      </c>
      <c r="O11" s="665" t="s">
        <v>959</v>
      </c>
      <c r="P11" s="265" t="s">
        <v>55</v>
      </c>
      <c r="Q11" s="104" t="s">
        <v>39</v>
      </c>
      <c r="R11" s="104" t="s">
        <v>388</v>
      </c>
      <c r="S11" s="114" t="s">
        <v>400</v>
      </c>
      <c r="T11" s="104" t="s">
        <v>401</v>
      </c>
      <c r="U11" s="114" t="s">
        <v>855</v>
      </c>
      <c r="V11" s="672"/>
      <c r="W11" s="265" t="s">
        <v>466</v>
      </c>
      <c r="X11" s="322" t="s">
        <v>467</v>
      </c>
    </row>
    <row r="12" spans="2:30" s="120" customFormat="1" ht="26.1" hidden="1" customHeight="1">
      <c r="B12" s="437"/>
      <c r="C12" s="356"/>
      <c r="D12" s="357"/>
      <c r="E12" s="357"/>
      <c r="F12" s="438"/>
      <c r="G12" s="390"/>
      <c r="H12" s="439"/>
      <c r="I12" s="440"/>
      <c r="J12" s="440"/>
      <c r="K12" s="440"/>
      <c r="L12" s="441"/>
      <c r="M12" s="374"/>
      <c r="N12" s="358"/>
      <c r="O12" s="442"/>
      <c r="P12" s="355"/>
      <c r="Q12" s="360"/>
      <c r="R12" s="373"/>
      <c r="S12" s="431">
        <f>R12*O12*Q12</f>
        <v>0</v>
      </c>
      <c r="T12" s="432">
        <f t="shared" ref="T12:T31" si="0">IF(C12="SBM", S12, 0)</f>
        <v>0</v>
      </c>
      <c r="U12" s="359"/>
      <c r="V12" s="59"/>
      <c r="W12" s="119">
        <f>$C12</f>
        <v>0</v>
      </c>
      <c r="X12" s="325" t="e">
        <f t="shared" ref="X12:X31" si="1">IF(ISERROR(VLOOKUP(E12,(SBM_2),2,0)),VLOOKUP(E12,(SEKOF_2),2,0),VLOOKUP(E12,(SBM_2),2,0))</f>
        <v>#N/A</v>
      </c>
      <c r="Y12" s="323"/>
      <c r="Z12" s="324"/>
      <c r="AA12" s="118"/>
      <c r="AC12" s="118"/>
      <c r="AD12" s="118"/>
    </row>
    <row r="13" spans="2:30" s="120" customFormat="1" ht="26.1" customHeight="1">
      <c r="B13" s="443"/>
      <c r="C13" s="409"/>
      <c r="D13" s="444"/>
      <c r="E13" s="444"/>
      <c r="F13" s="445"/>
      <c r="G13" s="361"/>
      <c r="H13" s="446"/>
      <c r="I13" s="446"/>
      <c r="J13" s="447"/>
      <c r="K13" s="447"/>
      <c r="L13" s="448"/>
      <c r="M13" s="378"/>
      <c r="N13" s="365"/>
      <c r="O13" s="449"/>
      <c r="P13" s="422"/>
      <c r="Q13" s="368"/>
      <c r="R13" s="376"/>
      <c r="S13" s="433">
        <f t="shared" ref="S13:S31" si="2">R13*O13*Q13</f>
        <v>0</v>
      </c>
      <c r="T13" s="434">
        <f t="shared" si="0"/>
        <v>0</v>
      </c>
      <c r="U13" s="564"/>
      <c r="V13" s="59"/>
      <c r="W13" s="313">
        <f t="shared" ref="W13:W31" si="3">$C13</f>
        <v>0</v>
      </c>
      <c r="X13" s="325" t="e">
        <f>IF(ISERROR(VLOOKUP(E13,(SBM_2),2,0)),VLOOKUP(E13,(SEKOF_2),2,0),VLOOKUP(E13,(SBM_2),2,0))</f>
        <v>#N/A</v>
      </c>
      <c r="Y13" s="326"/>
    </row>
    <row r="14" spans="2:30" s="120" customFormat="1" ht="26.1" customHeight="1">
      <c r="B14" s="443"/>
      <c r="C14" s="409" t="s">
        <v>327</v>
      </c>
      <c r="D14" s="444"/>
      <c r="E14" s="444" t="s">
        <v>996</v>
      </c>
      <c r="F14" s="445"/>
      <c r="G14" s="361"/>
      <c r="H14" s="446"/>
      <c r="I14" s="447"/>
      <c r="J14" s="447"/>
      <c r="K14" s="447"/>
      <c r="L14" s="448"/>
      <c r="M14" s="378"/>
      <c r="N14" s="365"/>
      <c r="O14" s="449">
        <v>9315</v>
      </c>
      <c r="P14" s="422" t="s">
        <v>45</v>
      </c>
      <c r="Q14" s="368">
        <v>1</v>
      </c>
      <c r="R14" s="376">
        <v>1</v>
      </c>
      <c r="S14" s="433">
        <f t="shared" si="2"/>
        <v>9315</v>
      </c>
      <c r="T14" s="434">
        <f t="shared" si="0"/>
        <v>0</v>
      </c>
      <c r="U14" s="461">
        <f>S14/88883/0.6/9</f>
        <v>1.9407535749243386E-2</v>
      </c>
      <c r="V14" s="59"/>
      <c r="W14" s="313" t="str">
        <f t="shared" si="3"/>
        <v>SEKOF</v>
      </c>
      <c r="X14" s="325" t="e">
        <f t="shared" si="1"/>
        <v>#N/A</v>
      </c>
      <c r="Y14" s="326"/>
    </row>
    <row r="15" spans="2:30" s="120" customFormat="1" ht="26.1" customHeight="1">
      <c r="B15" s="443"/>
      <c r="C15" s="409" t="s">
        <v>327</v>
      </c>
      <c r="D15" s="444"/>
      <c r="E15" s="444" t="s">
        <v>997</v>
      </c>
      <c r="F15" s="445"/>
      <c r="G15" s="361"/>
      <c r="H15" s="446"/>
      <c r="I15" s="447"/>
      <c r="J15" s="447"/>
      <c r="K15" s="447"/>
      <c r="L15" s="448"/>
      <c r="M15" s="378"/>
      <c r="N15" s="365"/>
      <c r="O15" s="450">
        <v>8316</v>
      </c>
      <c r="P15" s="422" t="s">
        <v>45</v>
      </c>
      <c r="Q15" s="368">
        <v>1</v>
      </c>
      <c r="R15" s="376">
        <v>1</v>
      </c>
      <c r="S15" s="433">
        <f t="shared" ref="S15" si="4">R15*O15*Q15</f>
        <v>8316</v>
      </c>
      <c r="T15" s="434">
        <f t="shared" ref="T15" si="5">IF(C15="SBM", S15, 0)</f>
        <v>0</v>
      </c>
      <c r="U15" s="461">
        <f t="shared" ref="U15:U25" si="6">S15/88883/0.6/9</f>
        <v>1.7326147857295547E-2</v>
      </c>
      <c r="V15" s="59"/>
      <c r="W15" s="313" t="str">
        <f t="shared" si="3"/>
        <v>SEKOF</v>
      </c>
      <c r="X15" s="325" t="e">
        <f>IF(ISERROR(VLOOKUP(#REF!,(SBM_2),2,0)),VLOOKUP(#REF!,(SEKOF_2),2,0),VLOOKUP(#REF!,(SBM_2),2,0))</f>
        <v>#REF!</v>
      </c>
      <c r="Y15" s="326"/>
    </row>
    <row r="16" spans="2:30" s="120" customFormat="1" ht="26.1" customHeight="1">
      <c r="B16" s="443"/>
      <c r="C16" s="409" t="s">
        <v>327</v>
      </c>
      <c r="D16" s="444"/>
      <c r="E16" s="444" t="s">
        <v>998</v>
      </c>
      <c r="F16" s="445"/>
      <c r="G16" s="361"/>
      <c r="H16" s="446"/>
      <c r="I16" s="447"/>
      <c r="J16" s="447"/>
      <c r="K16" s="447"/>
      <c r="L16" s="448"/>
      <c r="M16" s="378"/>
      <c r="N16" s="365"/>
      <c r="O16" s="450">
        <v>7920.0000000000009</v>
      </c>
      <c r="P16" s="422" t="s">
        <v>45</v>
      </c>
      <c r="Q16" s="368">
        <v>1</v>
      </c>
      <c r="R16" s="376">
        <v>1</v>
      </c>
      <c r="S16" s="433">
        <f t="shared" si="2"/>
        <v>7920.0000000000009</v>
      </c>
      <c r="T16" s="434">
        <f t="shared" si="0"/>
        <v>0</v>
      </c>
      <c r="U16" s="461">
        <f t="shared" si="6"/>
        <v>1.6501093197424332E-2</v>
      </c>
      <c r="V16" s="59"/>
      <c r="W16" s="313" t="str">
        <f t="shared" si="3"/>
        <v>SEKOF</v>
      </c>
      <c r="X16" s="325" t="e">
        <f>IF(ISERROR(VLOOKUP(E17,(SBM_2),2,0)),VLOOKUP(E17,(SEKOF_2),2,0),VLOOKUP(E17,(SBM_2),2,0))</f>
        <v>#N/A</v>
      </c>
      <c r="Y16" s="326"/>
    </row>
    <row r="17" spans="2:26" s="120" customFormat="1" ht="26.1" customHeight="1">
      <c r="B17" s="443"/>
      <c r="C17" s="409" t="s">
        <v>327</v>
      </c>
      <c r="D17" s="444"/>
      <c r="E17" s="444" t="s">
        <v>999</v>
      </c>
      <c r="F17" s="445"/>
      <c r="G17" s="361"/>
      <c r="H17" s="446"/>
      <c r="I17" s="447"/>
      <c r="J17" s="447"/>
      <c r="K17" s="447"/>
      <c r="L17" s="448"/>
      <c r="M17" s="378"/>
      <c r="N17" s="365"/>
      <c r="O17" s="450">
        <v>28764</v>
      </c>
      <c r="P17" s="422" t="s">
        <v>45</v>
      </c>
      <c r="Q17" s="368">
        <v>1</v>
      </c>
      <c r="R17" s="376">
        <v>1</v>
      </c>
      <c r="S17" s="433">
        <f t="shared" si="2"/>
        <v>28764</v>
      </c>
      <c r="T17" s="434">
        <f t="shared" si="0"/>
        <v>0</v>
      </c>
      <c r="U17" s="461">
        <f t="shared" si="6"/>
        <v>5.9928970294282E-2</v>
      </c>
      <c r="V17" s="59"/>
      <c r="W17" s="313" t="str">
        <f t="shared" si="3"/>
        <v>SEKOF</v>
      </c>
      <c r="X17" s="325" t="e">
        <f>IF(ISERROR(VLOOKUP(E16,(SBM_2),2,0)),VLOOKUP(E16,(SEKOF_2),2,0),VLOOKUP(E16,(SBM_2),2,0))</f>
        <v>#N/A</v>
      </c>
      <c r="Y17" s="326"/>
    </row>
    <row r="18" spans="2:26" s="120" customFormat="1" ht="26.1" customHeight="1">
      <c r="B18" s="443"/>
      <c r="C18" s="409" t="s">
        <v>327</v>
      </c>
      <c r="D18" s="444"/>
      <c r="E18" s="444" t="s">
        <v>1000</v>
      </c>
      <c r="F18" s="445"/>
      <c r="G18" s="361"/>
      <c r="H18" s="446"/>
      <c r="I18" s="447"/>
      <c r="J18" s="447"/>
      <c r="K18" s="447"/>
      <c r="L18" s="448"/>
      <c r="M18" s="378"/>
      <c r="N18" s="365"/>
      <c r="O18" s="450">
        <v>465.37880867416965</v>
      </c>
      <c r="P18" s="422" t="s">
        <v>45</v>
      </c>
      <c r="Q18" s="368">
        <v>1</v>
      </c>
      <c r="R18" s="376">
        <v>1</v>
      </c>
      <c r="S18" s="433">
        <f t="shared" si="2"/>
        <v>465.37880867416965</v>
      </c>
      <c r="T18" s="434">
        <f t="shared" si="0"/>
        <v>0</v>
      </c>
      <c r="U18" s="461">
        <f t="shared" si="6"/>
        <v>9.6960342096449241E-4</v>
      </c>
      <c r="V18" s="59"/>
      <c r="W18" s="313" t="str">
        <f t="shared" si="3"/>
        <v>SEKOF</v>
      </c>
      <c r="X18" s="325" t="e">
        <f t="shared" si="1"/>
        <v>#N/A</v>
      </c>
      <c r="Y18" s="326"/>
    </row>
    <row r="19" spans="2:26" s="120" customFormat="1" ht="26.1" customHeight="1">
      <c r="B19" s="443"/>
      <c r="C19" s="409" t="s">
        <v>327</v>
      </c>
      <c r="D19" s="444"/>
      <c r="E19" s="444" t="s">
        <v>1001</v>
      </c>
      <c r="F19" s="445"/>
      <c r="G19" s="361"/>
      <c r="H19" s="446"/>
      <c r="I19" s="447"/>
      <c r="J19" s="447"/>
      <c r="K19" s="447"/>
      <c r="L19" s="448"/>
      <c r="M19" s="378"/>
      <c r="N19" s="365"/>
      <c r="O19" s="450">
        <v>6205.0507823222615</v>
      </c>
      <c r="P19" s="422" t="s">
        <v>45</v>
      </c>
      <c r="Q19" s="368">
        <v>1</v>
      </c>
      <c r="R19" s="376">
        <v>1</v>
      </c>
      <c r="S19" s="433">
        <f t="shared" si="2"/>
        <v>6205.0507823222615</v>
      </c>
      <c r="T19" s="434"/>
      <c r="U19" s="461">
        <f t="shared" si="6"/>
        <v>1.2928045612859897E-2</v>
      </c>
      <c r="V19" s="59"/>
      <c r="W19" s="313"/>
      <c r="X19" s="325"/>
      <c r="Y19" s="326"/>
    </row>
    <row r="20" spans="2:26" s="120" customFormat="1" ht="26.1" customHeight="1">
      <c r="B20" s="443"/>
      <c r="C20" s="409" t="s">
        <v>327</v>
      </c>
      <c r="D20" s="444"/>
      <c r="E20" s="444" t="s">
        <v>1002</v>
      </c>
      <c r="F20" s="445"/>
      <c r="G20" s="361"/>
      <c r="H20" s="446"/>
      <c r="I20" s="447"/>
      <c r="J20" s="447"/>
      <c r="K20" s="447"/>
      <c r="L20" s="448"/>
      <c r="M20" s="378"/>
      <c r="N20" s="365"/>
      <c r="O20" s="450">
        <v>3723.0304693933572</v>
      </c>
      <c r="P20" s="422" t="s">
        <v>45</v>
      </c>
      <c r="Q20" s="368">
        <v>1</v>
      </c>
      <c r="R20" s="376">
        <v>1</v>
      </c>
      <c r="S20" s="433">
        <f t="shared" si="2"/>
        <v>3723.0304693933572</v>
      </c>
      <c r="T20" s="434"/>
      <c r="U20" s="461">
        <f t="shared" si="6"/>
        <v>7.7568273677159393E-3</v>
      </c>
      <c r="V20" s="59"/>
      <c r="W20" s="313"/>
      <c r="X20" s="325"/>
      <c r="Y20" s="326"/>
    </row>
    <row r="21" spans="2:26" s="120" customFormat="1" ht="26.1" customHeight="1">
      <c r="B21" s="443"/>
      <c r="C21" s="409" t="s">
        <v>327</v>
      </c>
      <c r="D21" s="444"/>
      <c r="E21" s="444" t="s">
        <v>1003</v>
      </c>
      <c r="F21" s="445"/>
      <c r="G21" s="361"/>
      <c r="H21" s="446"/>
      <c r="I21" s="447"/>
      <c r="J21" s="447"/>
      <c r="K21" s="447"/>
      <c r="L21" s="448"/>
      <c r="M21" s="378"/>
      <c r="N21" s="365"/>
      <c r="O21" s="450">
        <v>7446.0609387867144</v>
      </c>
      <c r="P21" s="422" t="s">
        <v>45</v>
      </c>
      <c r="Q21" s="368">
        <v>1</v>
      </c>
      <c r="R21" s="376">
        <v>1</v>
      </c>
      <c r="S21" s="433">
        <f t="shared" si="2"/>
        <v>7446.0609387867144</v>
      </c>
      <c r="T21" s="434"/>
      <c r="U21" s="461">
        <f t="shared" si="6"/>
        <v>1.5513654735431879E-2</v>
      </c>
      <c r="V21" s="59"/>
      <c r="W21" s="313"/>
      <c r="X21" s="325"/>
      <c r="Y21" s="326"/>
    </row>
    <row r="22" spans="2:26" s="120" customFormat="1" ht="26.1" customHeight="1">
      <c r="B22" s="443"/>
      <c r="C22" s="409" t="s">
        <v>327</v>
      </c>
      <c r="D22" s="444"/>
      <c r="E22" s="444" t="s">
        <v>1004</v>
      </c>
      <c r="F22" s="445"/>
      <c r="G22" s="361"/>
      <c r="H22" s="446"/>
      <c r="I22" s="447"/>
      <c r="J22" s="447"/>
      <c r="K22" s="447"/>
      <c r="L22" s="448"/>
      <c r="M22" s="378"/>
      <c r="N22" s="365"/>
      <c r="O22" s="450">
        <v>7446.0609387867144</v>
      </c>
      <c r="P22" s="422" t="s">
        <v>45</v>
      </c>
      <c r="Q22" s="368">
        <v>1</v>
      </c>
      <c r="R22" s="376">
        <v>1</v>
      </c>
      <c r="S22" s="433">
        <f t="shared" si="2"/>
        <v>7446.0609387867144</v>
      </c>
      <c r="T22" s="434"/>
      <c r="U22" s="461">
        <f t="shared" si="6"/>
        <v>1.5513654735431879E-2</v>
      </c>
      <c r="V22" s="59"/>
      <c r="W22" s="313"/>
      <c r="X22" s="325"/>
      <c r="Y22" s="326"/>
    </row>
    <row r="23" spans="2:26" s="120" customFormat="1" ht="26.1" customHeight="1">
      <c r="B23" s="443"/>
      <c r="C23" s="409" t="s">
        <v>327</v>
      </c>
      <c r="D23" s="444"/>
      <c r="E23" s="444" t="s">
        <v>1005</v>
      </c>
      <c r="F23" s="445"/>
      <c r="G23" s="361"/>
      <c r="H23" s="446"/>
      <c r="I23" s="447"/>
      <c r="J23" s="447"/>
      <c r="K23" s="447"/>
      <c r="L23" s="448"/>
      <c r="M23" s="378"/>
      <c r="N23" s="365"/>
      <c r="O23" s="450">
        <v>1861.5152346966786</v>
      </c>
      <c r="P23" s="422" t="s">
        <v>45</v>
      </c>
      <c r="Q23" s="368">
        <v>1</v>
      </c>
      <c r="R23" s="376">
        <v>1</v>
      </c>
      <c r="S23" s="433">
        <f t="shared" si="2"/>
        <v>1861.5152346966786</v>
      </c>
      <c r="T23" s="434"/>
      <c r="U23" s="461">
        <f t="shared" si="6"/>
        <v>3.8784136838579696E-3</v>
      </c>
      <c r="V23" s="59"/>
      <c r="W23" s="313"/>
      <c r="X23" s="325"/>
      <c r="Y23" s="326"/>
    </row>
    <row r="24" spans="2:26" s="120" customFormat="1" ht="26.1" customHeight="1">
      <c r="B24" s="443"/>
      <c r="C24" s="409" t="s">
        <v>327</v>
      </c>
      <c r="D24" s="444"/>
      <c r="E24" s="444" t="s">
        <v>1006</v>
      </c>
      <c r="F24" s="445"/>
      <c r="G24" s="361"/>
      <c r="H24" s="446"/>
      <c r="I24" s="447"/>
      <c r="J24" s="447"/>
      <c r="K24" s="447"/>
      <c r="L24" s="448"/>
      <c r="M24" s="378"/>
      <c r="N24" s="365"/>
      <c r="O24" s="450">
        <v>548.68161542684607</v>
      </c>
      <c r="P24" s="422" t="s">
        <v>45</v>
      </c>
      <c r="Q24" s="368">
        <v>1</v>
      </c>
      <c r="R24" s="376">
        <v>1</v>
      </c>
      <c r="S24" s="433">
        <f t="shared" si="2"/>
        <v>548.68161542684607</v>
      </c>
      <c r="T24" s="434"/>
      <c r="U24" s="461">
        <f t="shared" si="6"/>
        <v>1.1431624333171366E-3</v>
      </c>
      <c r="V24" s="59"/>
      <c r="W24" s="313"/>
      <c r="X24" s="325"/>
      <c r="Y24" s="326"/>
    </row>
    <row r="25" spans="2:26" s="120" customFormat="1" ht="26.1" customHeight="1">
      <c r="B25" s="443"/>
      <c r="C25" s="409" t="s">
        <v>327</v>
      </c>
      <c r="D25" s="444"/>
      <c r="E25" s="444" t="s">
        <v>973</v>
      </c>
      <c r="F25" s="445"/>
      <c r="G25" s="361"/>
      <c r="H25" s="446"/>
      <c r="I25" s="447"/>
      <c r="J25" s="447"/>
      <c r="K25" s="447"/>
      <c r="L25" s="448"/>
      <c r="M25" s="378"/>
      <c r="N25" s="365"/>
      <c r="O25" s="450">
        <v>620.5050782322262</v>
      </c>
      <c r="P25" s="422" t="s">
        <v>45</v>
      </c>
      <c r="Q25" s="368">
        <v>1</v>
      </c>
      <c r="R25" s="376">
        <v>1</v>
      </c>
      <c r="S25" s="433">
        <f t="shared" si="2"/>
        <v>620.5050782322262</v>
      </c>
      <c r="T25" s="434"/>
      <c r="U25" s="461">
        <f t="shared" si="6"/>
        <v>1.2928045612859897E-3</v>
      </c>
      <c r="V25" s="59"/>
      <c r="W25" s="313"/>
      <c r="X25" s="325"/>
      <c r="Y25" s="326"/>
    </row>
    <row r="26" spans="2:26" s="120" customFormat="1" ht="26.1" customHeight="1">
      <c r="B26" s="443"/>
      <c r="C26" s="409"/>
      <c r="D26" s="444"/>
      <c r="E26" s="444"/>
      <c r="F26" s="445"/>
      <c r="G26" s="361"/>
      <c r="H26" s="446"/>
      <c r="I26" s="447"/>
      <c r="J26" s="447"/>
      <c r="K26" s="447"/>
      <c r="L26" s="448"/>
      <c r="M26" s="378"/>
      <c r="N26" s="365"/>
      <c r="O26" s="450"/>
      <c r="P26" s="422"/>
      <c r="Q26" s="368"/>
      <c r="R26" s="376"/>
      <c r="S26" s="433">
        <f t="shared" si="2"/>
        <v>0</v>
      </c>
      <c r="T26" s="434"/>
      <c r="U26" s="461">
        <f>S26/155187/0.6/9</f>
        <v>0</v>
      </c>
      <c r="V26" s="59"/>
      <c r="W26" s="313"/>
      <c r="X26" s="325"/>
      <c r="Y26" s="326"/>
    </row>
    <row r="27" spans="2:26" s="120" customFormat="1" ht="26.1" customHeight="1">
      <c r="B27" s="443"/>
      <c r="C27" s="409" t="s">
        <v>327</v>
      </c>
      <c r="D27" s="444"/>
      <c r="E27" s="444" t="s">
        <v>997</v>
      </c>
      <c r="F27" s="445"/>
      <c r="G27" s="361"/>
      <c r="H27" s="446"/>
      <c r="I27" s="447"/>
      <c r="J27" s="447"/>
      <c r="K27" s="447"/>
      <c r="L27" s="448"/>
      <c r="M27" s="378"/>
      <c r="N27" s="365"/>
      <c r="O27" s="450">
        <v>13200</v>
      </c>
      <c r="P27" s="422" t="s">
        <v>45</v>
      </c>
      <c r="Q27" s="368">
        <v>1</v>
      </c>
      <c r="R27" s="376">
        <v>0.34</v>
      </c>
      <c r="S27" s="433">
        <f t="shared" si="2"/>
        <v>4488</v>
      </c>
      <c r="T27" s="434"/>
      <c r="U27" s="461">
        <f>S27/189304/0.6/9</f>
        <v>4.3903515568139671E-3</v>
      </c>
      <c r="V27" s="59"/>
      <c r="W27" s="313"/>
      <c r="X27" s="325"/>
      <c r="Y27" s="326"/>
    </row>
    <row r="28" spans="2:26" s="120" customFormat="1" ht="26.1" customHeight="1">
      <c r="B28" s="443"/>
      <c r="C28" s="409" t="s">
        <v>327</v>
      </c>
      <c r="D28" s="444"/>
      <c r="E28" s="444" t="s">
        <v>1001</v>
      </c>
      <c r="F28" s="445"/>
      <c r="G28" s="361"/>
      <c r="H28" s="446"/>
      <c r="I28" s="447"/>
      <c r="J28" s="447"/>
      <c r="K28" s="447"/>
      <c r="L28" s="448"/>
      <c r="M28" s="378"/>
      <c r="N28" s="365"/>
      <c r="O28" s="450">
        <v>13200</v>
      </c>
      <c r="P28" s="422" t="s">
        <v>45</v>
      </c>
      <c r="Q28" s="368">
        <v>1</v>
      </c>
      <c r="R28" s="376">
        <v>0.34</v>
      </c>
      <c r="S28" s="433">
        <f t="shared" si="2"/>
        <v>4488</v>
      </c>
      <c r="T28" s="434"/>
      <c r="U28" s="461">
        <f t="shared" ref="U28:U29" si="7">S28/189304/0.6/9</f>
        <v>4.3903515568139671E-3</v>
      </c>
      <c r="V28" s="59"/>
      <c r="W28" s="313"/>
      <c r="X28" s="325"/>
      <c r="Y28" s="326"/>
    </row>
    <row r="29" spans="2:26" s="120" customFormat="1" ht="26.1" customHeight="1">
      <c r="B29" s="443"/>
      <c r="C29" s="409" t="s">
        <v>327</v>
      </c>
      <c r="D29" s="444"/>
      <c r="E29" s="444" t="s">
        <v>974</v>
      </c>
      <c r="F29" s="445"/>
      <c r="G29" s="361"/>
      <c r="H29" s="446"/>
      <c r="I29" s="447"/>
      <c r="J29" s="447"/>
      <c r="K29" s="447"/>
      <c r="L29" s="448"/>
      <c r="M29" s="378"/>
      <c r="N29" s="365"/>
      <c r="O29" s="450">
        <v>9240</v>
      </c>
      <c r="P29" s="422" t="s">
        <v>45</v>
      </c>
      <c r="Q29" s="368">
        <v>1</v>
      </c>
      <c r="R29" s="376">
        <v>0.34</v>
      </c>
      <c r="S29" s="433">
        <f t="shared" si="2"/>
        <v>3141.6000000000004</v>
      </c>
      <c r="T29" s="434">
        <f>IF(C29="SBM", S29, 0)</f>
        <v>0</v>
      </c>
      <c r="U29" s="461">
        <f t="shared" si="7"/>
        <v>3.0732460897697766E-3</v>
      </c>
      <c r="V29" s="59"/>
      <c r="W29" s="313" t="str">
        <f t="shared" si="3"/>
        <v>SEKOF</v>
      </c>
      <c r="X29" s="325" t="e">
        <f t="shared" si="1"/>
        <v>#N/A</v>
      </c>
      <c r="Y29" s="326"/>
    </row>
    <row r="30" spans="2:26" s="120" customFormat="1" ht="26.1" customHeight="1">
      <c r="B30" s="443"/>
      <c r="C30" s="409" t="s">
        <v>328</v>
      </c>
      <c r="D30" s="444"/>
      <c r="E30" s="444" t="s">
        <v>294</v>
      </c>
      <c r="F30" s="445"/>
      <c r="G30" s="361"/>
      <c r="H30" s="446"/>
      <c r="I30" s="447"/>
      <c r="J30" s="447"/>
      <c r="K30" s="447"/>
      <c r="L30" s="448"/>
      <c r="M30" s="378"/>
      <c r="N30" s="365"/>
      <c r="O30" s="450">
        <v>40000</v>
      </c>
      <c r="P30" s="422" t="s">
        <v>45</v>
      </c>
      <c r="Q30" s="368">
        <v>1</v>
      </c>
      <c r="R30" s="376">
        <v>1</v>
      </c>
      <c r="S30" s="433">
        <f t="shared" si="2"/>
        <v>40000</v>
      </c>
      <c r="T30" s="434">
        <f t="shared" si="0"/>
        <v>0</v>
      </c>
      <c r="U30" s="461">
        <f>S30/1767472*0.6/2</f>
        <v>6.7893579077914663E-3</v>
      </c>
      <c r="V30" s="59"/>
      <c r="W30" s="313" t="str">
        <f t="shared" si="3"/>
        <v>Folgewerkzeug</v>
      </c>
      <c r="X30" s="325" t="str">
        <f t="shared" si="1"/>
        <v>SBM</v>
      </c>
      <c r="Y30" s="326"/>
    </row>
    <row r="31" spans="2:26" s="120" customFormat="1" ht="26.1" customHeight="1" thickBot="1">
      <c r="B31" s="451"/>
      <c r="C31" s="417"/>
      <c r="D31" s="452"/>
      <c r="E31" s="452"/>
      <c r="F31" s="453"/>
      <c r="G31" s="416"/>
      <c r="H31" s="454"/>
      <c r="I31" s="455"/>
      <c r="J31" s="455"/>
      <c r="K31" s="455"/>
      <c r="L31" s="456"/>
      <c r="M31" s="457"/>
      <c r="N31" s="458"/>
      <c r="O31" s="459"/>
      <c r="P31" s="424"/>
      <c r="Q31" s="425"/>
      <c r="R31" s="460"/>
      <c r="S31" s="435">
        <f t="shared" si="2"/>
        <v>0</v>
      </c>
      <c r="T31" s="436">
        <f t="shared" si="0"/>
        <v>0</v>
      </c>
      <c r="U31" s="462"/>
      <c r="V31" s="59"/>
      <c r="W31" s="314">
        <f t="shared" si="3"/>
        <v>0</v>
      </c>
      <c r="X31" s="325" t="e">
        <f t="shared" si="1"/>
        <v>#N/A</v>
      </c>
      <c r="Y31" s="323"/>
      <c r="Z31" s="118"/>
    </row>
    <row r="32" spans="2:26" s="59" customFormat="1" ht="12" customHeight="1" thickBot="1"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4"/>
      <c r="S32" s="123"/>
      <c r="T32" s="122"/>
      <c r="U32" s="124"/>
      <c r="W32" s="122"/>
      <c r="Y32" s="138"/>
    </row>
    <row r="33" spans="2:21" ht="24.75" customHeight="1">
      <c r="B33" s="125" t="s">
        <v>58</v>
      </c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61"/>
      <c r="S33" s="262"/>
      <c r="T33" s="263" t="s">
        <v>326</v>
      </c>
      <c r="U33" s="261" t="s">
        <v>678</v>
      </c>
    </row>
    <row r="34" spans="2:21" ht="17.100000000000001" customHeight="1">
      <c r="B34" s="13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2"/>
      <c r="Q34" s="162"/>
      <c r="R34" s="163"/>
      <c r="S34" s="135" t="str">
        <f>Zusammenfassung!$C$26</f>
        <v>EUR</v>
      </c>
      <c r="T34" s="429">
        <f ca="1">SUMIF(INDIRECT("$P12:$P"&amp;EndZTools),$S34,INDIRECT("T12:T"&amp;EndZTools))</f>
        <v>0</v>
      </c>
      <c r="U34" s="430">
        <f ca="1">SUMIF(INDIRECT("$P12:$P"&amp;EndZTools),$S34,INDIRECT("U12:U"&amp;EndZTools))</f>
        <v>0.19080322076029962</v>
      </c>
    </row>
    <row r="35" spans="2:21" ht="17.100000000000001" customHeight="1">
      <c r="B35" s="131"/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40">
        <f>Zusammenfassung!$C$27</f>
        <v>0</v>
      </c>
      <c r="T35" s="521">
        <f ca="1">SUMIF(INDIRECT("$P12:$P"&amp;EndZTools),$S35,INDIRECT("T12:T"&amp;EndZTools))</f>
        <v>0</v>
      </c>
      <c r="U35" s="522">
        <f ca="1">SUMIF(INDIRECT("$P12:$P"&amp;EndZTools),$S35,INDIRECT("U12:U"&amp;EndZTools))</f>
        <v>0</v>
      </c>
    </row>
    <row r="36" spans="2:21" ht="17.100000000000001" customHeight="1" thickBot="1">
      <c r="B36" s="141" t="s">
        <v>411</v>
      </c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46">
        <f>Zusammenfassung!$C$28</f>
        <v>0</v>
      </c>
      <c r="T36" s="523">
        <f ca="1">SUMIF(INDIRECT("$P12:$P"&amp;EndZTools),$S36,INDIRECT("T12:T"&amp;EndZTools))</f>
        <v>0</v>
      </c>
      <c r="U36" s="524">
        <f ca="1">SUMIF(INDIRECT("$P12:$P"&amp;EndZTools),$S36,INDIRECT("U12:U"&amp;EndZTools))</f>
        <v>0</v>
      </c>
    </row>
    <row r="37" spans="2:21" ht="7.5" customHeight="1"/>
  </sheetData>
  <sheetProtection insertRows="0" deleteRows="0"/>
  <mergeCells count="14">
    <mergeCell ref="B4:D4"/>
    <mergeCell ref="R5:U5"/>
    <mergeCell ref="R6:U6"/>
    <mergeCell ref="R7:U7"/>
    <mergeCell ref="R8:U8"/>
    <mergeCell ref="E5:F5"/>
    <mergeCell ref="E6:F6"/>
    <mergeCell ref="E7:F7"/>
    <mergeCell ref="E8:F8"/>
    <mergeCell ref="J5:N5"/>
    <mergeCell ref="J6:N6"/>
    <mergeCell ref="J7:N7"/>
    <mergeCell ref="J8:N8"/>
    <mergeCell ref="G4:I4"/>
  </mergeCells>
  <conditionalFormatting sqref="E12:E29">
    <cfRule type="expression" dxfId="24" priority="13" stopIfTrue="1">
      <formula>AND(OR($C12="SEKOF",$C12="Folgewerkzeug",$C12="SBM"),$E12="allgemein")=TRUE</formula>
    </cfRule>
    <cfRule type="expression" dxfId="23" priority="14" stopIfTrue="1">
      <formula>OR(AND($W12="Werkzeuginstandhaltung",OR(X12="SBM",X12="SEKOF")),AND(W12="Folgewerkzeug",X12="SEKOF"),AND(W12="SEKOF",X12="SBM"),AND(W12="SBM",X12="SEKOF"))=TRUE</formula>
    </cfRule>
    <cfRule type="expression" dxfId="22" priority="15" stopIfTrue="1">
      <formula>OR(AND($C12="",$E12&lt;&gt;""),AND($C12&lt;&gt;"",$E12=""))</formula>
    </cfRule>
  </conditionalFormatting>
  <conditionalFormatting sqref="E26:E27">
    <cfRule type="expression" dxfId="21" priority="4" stopIfTrue="1">
      <formula>AND(OR($C26="SEKOF",$C26="Folgewerkzeug",$C26="SBM"),$E26="allgemein")=TRUE</formula>
    </cfRule>
    <cfRule type="expression" dxfId="20" priority="5" stopIfTrue="1">
      <formula>OR(AND($W26="Werkzeuginstandhaltung",OR(X26="SBM",X26="SEKOF")),AND(W26="Folgewerkzeug",X26="SEKOF"),AND(W26="SEKOF",X26="SBM"),AND(W26="SBM",X26="SEKOF"))=TRUE</formula>
    </cfRule>
    <cfRule type="expression" dxfId="19" priority="6" stopIfTrue="1">
      <formula>OR(AND($C26="",$E26&lt;&gt;""),AND($C26&lt;&gt;"",$E26=""))</formula>
    </cfRule>
  </conditionalFormatting>
  <conditionalFormatting sqref="E29:E31">
    <cfRule type="expression" dxfId="18" priority="1" stopIfTrue="1">
      <formula>AND(OR($C29="SEKOF",$C29="Folgewerkzeug",$C29="SBM"),$E29="allgemein")=TRUE</formula>
    </cfRule>
    <cfRule type="expression" dxfId="17" priority="2" stopIfTrue="1">
      <formula>OR(AND($W29="Werkzeuginstandhaltung",OR(X29="SBM",X29="SEKOF")),AND(W29="Folgewerkzeug",X29="SEKOF"),AND(W29="SEKOF",X29="SBM"),AND(W29="SBM",X29="SEKOF"))=TRUE</formula>
    </cfRule>
    <cfRule type="expression" dxfId="16" priority="3" stopIfTrue="1">
      <formula>OR(AND($C29="",$E29&lt;&gt;""),AND($C29&lt;&gt;"",$E29=""))</formula>
    </cfRule>
  </conditionalFormatting>
  <conditionalFormatting sqref="T12:T31">
    <cfRule type="expression" dxfId="15" priority="51" stopIfTrue="1">
      <formula>OR($C12="SEKOF", $C12="Folgewerkzeug", $C12="Werkzeuginstandhaltung")</formula>
    </cfRule>
  </conditionalFormatting>
  <conditionalFormatting sqref="T35:U35">
    <cfRule type="expression" dxfId="14" priority="54" stopIfTrue="1">
      <formula>$S$35=0</formula>
    </cfRule>
  </conditionalFormatting>
  <conditionalFormatting sqref="T36:U36">
    <cfRule type="expression" dxfId="13" priority="53" stopIfTrue="1">
      <formula>$S$36=0</formula>
    </cfRule>
  </conditionalFormatting>
  <conditionalFormatting sqref="U12:U31">
    <cfRule type="expression" dxfId="12" priority="52" stopIfTrue="1">
      <formula>$C12="SBM"</formula>
    </cfRule>
  </conditionalFormatting>
  <dataValidations count="8">
    <dataValidation type="list" allowBlank="1" showInputMessage="1" showErrorMessage="1" sqref="IK32:IV32 HS12:HT31" xr:uid="{3D51F39E-45DA-4A70-950E-BC18435ADC96}">
      <formula1>BAUTEILKENNUNG</formula1>
    </dataValidation>
    <dataValidation type="list" allowBlank="1" showInputMessage="1" showErrorMessage="1" sqref="N31" xr:uid="{4C1467F2-16E9-4E8F-9F4A-4CB266829790}">
      <formula1>listZulässigeAngebotswährungen</formula1>
    </dataValidation>
    <dataValidation type="list" allowBlank="1" showInputMessage="1" showErrorMessage="1" sqref="P12:P31" xr:uid="{3F5B3900-384B-4F8B-BF15-A7E740F6E005}">
      <formula1>listAngebotsWährungen</formula1>
    </dataValidation>
    <dataValidation allowBlank="1" showInputMessage="1" showErrorMessage="1" errorTitle="ungültige Verrechnungsform" error="TEST_x000a_" sqref="U13:V13 U14:U31" xr:uid="{38D417EE-71CE-4135-8B4B-8A4CE375CB0A}"/>
    <dataValidation type="list" allowBlank="1" showInputMessage="1" showErrorMessage="1" sqref="E12:E31" xr:uid="{95556F1D-3375-460A-B2D2-73F4E5C56F39}">
      <formula1>INDIRECT($C12)</formula1>
    </dataValidation>
    <dataValidation type="list" allowBlank="1" showInputMessage="1" showErrorMessage="1" sqref="N12:N30" xr:uid="{5BEF91CD-35E2-4FCF-B6E9-3FF6DFC97A27}">
      <formula1>listZulässigeBeschaffungswährungen</formula1>
    </dataValidation>
    <dataValidation type="list" allowBlank="1" showInputMessage="1" showErrorMessage="1" sqref="D12:D31" xr:uid="{53F68578-69E9-4379-B9D5-B7F40863BCDF}">
      <formula1>listVorhanden</formula1>
    </dataValidation>
    <dataValidation type="list" allowBlank="1" showInputMessage="1" showErrorMessage="1" sqref="C12:C31" xr:uid="{F512DA57-3B80-4CDA-B4FC-06E0715D5BD9}">
      <formula1>listVerrechnungsformen</formula1>
    </dataValidation>
  </dataValidations>
  <hyperlinks>
    <hyperlink ref="T2" r:id="rId1" xr:uid="{00000000-0004-0000-0300-000000000000}"/>
  </hyperlinks>
  <pageMargins left="0.39370078740157483" right="0.39370078740157483" top="0.39370078740157483" bottom="0.39370078740157483" header="0.31496062992125984" footer="0.31496062992125984"/>
  <pageSetup paperSize="9" scale="60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1">
    <tabColor theme="6" tint="0.79998168889431442"/>
    <pageSetUpPr fitToPage="1"/>
  </sheetPr>
  <dimension ref="A1:U35"/>
  <sheetViews>
    <sheetView showZeros="0" zoomScale="85" zoomScaleNormal="85" workbookViewId="0">
      <selection activeCell="D15" sqref="D15"/>
    </sheetView>
  </sheetViews>
  <sheetFormatPr baseColWidth="10" defaultColWidth="11.44140625" defaultRowHeight="13.8"/>
  <cols>
    <col min="1" max="1" width="1.44140625" style="91" customWidth="1"/>
    <col min="2" max="2" width="5.6640625" style="91" customWidth="1"/>
    <col min="3" max="3" width="33.109375" style="91" customWidth="1"/>
    <col min="4" max="6" width="8.5546875" style="91" customWidth="1"/>
    <col min="7" max="7" width="14.44140625" style="91" customWidth="1"/>
    <col min="8" max="8" width="8.33203125" style="91" customWidth="1"/>
    <col min="9" max="9" width="21.44140625" style="91" customWidth="1"/>
    <col min="10" max="12" width="8.33203125" style="91" customWidth="1"/>
    <col min="13" max="13" width="15.6640625" style="91" customWidth="1"/>
    <col min="14" max="14" width="5.6640625" style="91" customWidth="1"/>
    <col min="15" max="15" width="13.33203125" style="91" customWidth="1"/>
    <col min="16" max="16" width="5.6640625" style="91" customWidth="1"/>
    <col min="17" max="18" width="8.33203125" style="91" customWidth="1"/>
    <col min="19" max="20" width="13.33203125" style="91" customWidth="1"/>
    <col min="21" max="21" width="15.33203125" style="91" bestFit="1" customWidth="1"/>
    <col min="22" max="22" width="1.33203125" style="91" customWidth="1"/>
    <col min="23" max="24" width="11.44140625" style="91" customWidth="1"/>
    <col min="25" max="25" width="1.44140625" style="91" customWidth="1"/>
    <col min="26" max="26" width="18.109375" style="91" bestFit="1" customWidth="1"/>
    <col min="27" max="16384" width="11.44140625" style="91"/>
  </cols>
  <sheetData>
    <row r="1" spans="1:21" ht="14.4" thickBot="1">
      <c r="A1" s="507"/>
      <c r="B1" s="507"/>
      <c r="C1" s="507">
        <v>8</v>
      </c>
      <c r="D1" s="507">
        <v>5</v>
      </c>
      <c r="E1" s="507">
        <v>22</v>
      </c>
      <c r="F1" s="507"/>
      <c r="G1" s="507">
        <v>7.5</v>
      </c>
      <c r="H1" s="507">
        <v>7.5</v>
      </c>
      <c r="I1" s="507">
        <v>7.5</v>
      </c>
      <c r="J1" s="507">
        <v>7.5</v>
      </c>
      <c r="K1" s="507"/>
      <c r="L1" s="507">
        <v>7.5</v>
      </c>
      <c r="M1" s="507">
        <v>15</v>
      </c>
      <c r="N1" s="507">
        <v>5</v>
      </c>
      <c r="O1" s="507">
        <v>12.5</v>
      </c>
      <c r="P1" s="507">
        <v>5</v>
      </c>
      <c r="Q1" s="508">
        <v>7.5</v>
      </c>
      <c r="R1" s="508">
        <v>7.5</v>
      </c>
      <c r="S1" s="508">
        <v>12.5</v>
      </c>
      <c r="T1" s="508">
        <v>12.5</v>
      </c>
      <c r="U1" s="507">
        <v>10</v>
      </c>
    </row>
    <row r="2" spans="1:21" ht="24.6">
      <c r="B2" s="55" t="s">
        <v>1</v>
      </c>
      <c r="C2" s="55"/>
      <c r="D2" s="58"/>
      <c r="E2" s="58"/>
      <c r="F2" s="58"/>
      <c r="G2" s="55" t="s">
        <v>2</v>
      </c>
      <c r="H2" s="58"/>
      <c r="I2" s="60"/>
      <c r="J2" s="56"/>
      <c r="K2" s="56"/>
      <c r="L2" s="56"/>
      <c r="M2" s="56"/>
      <c r="N2" s="56"/>
      <c r="O2" s="56"/>
      <c r="P2" s="57" t="s">
        <v>46</v>
      </c>
      <c r="Q2" s="57"/>
      <c r="R2" s="56"/>
      <c r="S2" s="60"/>
      <c r="T2" s="654" t="s">
        <v>951</v>
      </c>
      <c r="U2" s="66"/>
    </row>
    <row r="3" spans="1:21" ht="17.399999999999999">
      <c r="B3" s="67" t="s">
        <v>500</v>
      </c>
      <c r="C3" s="67"/>
      <c r="D3" s="68"/>
      <c r="E3" s="68"/>
      <c r="F3" s="68"/>
      <c r="G3" s="70" t="s">
        <v>943</v>
      </c>
      <c r="H3" s="68"/>
      <c r="I3" s="68"/>
      <c r="J3" s="71"/>
      <c r="K3" s="71"/>
      <c r="L3" s="71"/>
      <c r="M3" s="71"/>
      <c r="N3" s="71"/>
      <c r="O3" s="71"/>
      <c r="P3" s="72" t="s">
        <v>965</v>
      </c>
      <c r="Q3" s="65"/>
      <c r="R3" s="71"/>
      <c r="S3" s="71"/>
      <c r="T3" s="71"/>
      <c r="U3" s="73"/>
    </row>
    <row r="4" spans="1:21" ht="14.4" thickBot="1">
      <c r="B4" s="785" t="str">
        <f>+Zusammenfassung!B4</f>
        <v>QAF Version 8.4_01_01 © BMW AG</v>
      </c>
      <c r="C4" s="810"/>
      <c r="D4" s="810"/>
      <c r="E4" s="327"/>
      <c r="F4" s="327"/>
      <c r="G4" s="799" t="s">
        <v>950</v>
      </c>
      <c r="H4" s="800"/>
      <c r="I4" s="800"/>
      <c r="J4" s="75"/>
      <c r="K4" s="75"/>
      <c r="L4" s="75"/>
      <c r="M4" s="75"/>
      <c r="N4" s="75"/>
      <c r="O4" s="75"/>
      <c r="P4" s="147"/>
      <c r="Q4" s="75"/>
      <c r="R4" s="75"/>
      <c r="S4" s="75"/>
      <c r="T4" s="75"/>
      <c r="U4" s="76"/>
    </row>
    <row r="5" spans="1:21" ht="15" customHeight="1">
      <c r="B5" s="328" t="s">
        <v>53</v>
      </c>
      <c r="C5" s="328"/>
      <c r="D5" s="787" t="str">
        <f>Zusammenfassung!$C5</f>
        <v>Henry Sebold</v>
      </c>
      <c r="E5" s="787"/>
      <c r="F5" s="811"/>
      <c r="G5" s="328" t="s">
        <v>280</v>
      </c>
      <c r="H5" s="329"/>
      <c r="I5" s="329"/>
      <c r="J5" s="787" t="str">
        <f>Zusammenfassung!$I5</f>
        <v>HIB Trim Part Solutions GmbH</v>
      </c>
      <c r="K5" s="788"/>
      <c r="L5" s="788"/>
      <c r="M5" s="788"/>
      <c r="N5" s="788"/>
      <c r="O5" s="148" t="s">
        <v>6</v>
      </c>
      <c r="P5" s="148"/>
      <c r="Q5" s="149"/>
      <c r="R5" s="801" t="str">
        <f>Zusammenfassung!$M5</f>
        <v>FS_SA3_LL_Aluminuim_Mesh</v>
      </c>
      <c r="S5" s="788"/>
      <c r="T5" s="788"/>
      <c r="U5" s="789"/>
    </row>
    <row r="6" spans="1:21" ht="15" customHeight="1">
      <c r="B6" s="150" t="s">
        <v>7</v>
      </c>
      <c r="C6" s="150"/>
      <c r="D6" s="790" t="str">
        <f>HYPERLINK(CONCATENATE("mailto:",Zusammenfassung!C6),Zusammenfassung!C6)</f>
        <v>henry.sebold@nbhx-trim.com</v>
      </c>
      <c r="E6" s="790"/>
      <c r="F6" s="818"/>
      <c r="G6" s="330" t="s">
        <v>8</v>
      </c>
      <c r="H6" s="151"/>
      <c r="I6" s="151"/>
      <c r="J6" s="793">
        <f>Zusammenfassung!$I6</f>
        <v>14537310</v>
      </c>
      <c r="K6" s="794"/>
      <c r="L6" s="794"/>
      <c r="M6" s="794"/>
      <c r="N6" s="794"/>
      <c r="O6" s="151" t="s">
        <v>9</v>
      </c>
      <c r="P6" s="151"/>
      <c r="Q6" s="152"/>
      <c r="R6" s="793">
        <f>Zusammenfassung!$M6</f>
        <v>0</v>
      </c>
      <c r="S6" s="794"/>
      <c r="T6" s="794"/>
      <c r="U6" s="795"/>
    </row>
    <row r="7" spans="1:21" ht="15" customHeight="1">
      <c r="B7" s="150" t="s">
        <v>10</v>
      </c>
      <c r="C7" s="150"/>
      <c r="D7" s="793" t="str">
        <f>Zusammenfassung!$C7</f>
        <v>+49 7251 722 427</v>
      </c>
      <c r="E7" s="793"/>
      <c r="F7" s="808"/>
      <c r="G7" s="330" t="s">
        <v>11</v>
      </c>
      <c r="H7" s="151"/>
      <c r="I7" s="151"/>
      <c r="J7" s="793" t="str">
        <f>Zusammenfassung!$I7</f>
        <v>U06ff.</v>
      </c>
      <c r="K7" s="794"/>
      <c r="L7" s="794"/>
      <c r="M7" s="794"/>
      <c r="N7" s="794"/>
      <c r="O7" s="151" t="s">
        <v>12</v>
      </c>
      <c r="P7" s="151"/>
      <c r="Q7" s="152"/>
      <c r="R7" s="793">
        <f>Zusammenfassung!$M7</f>
        <v>0</v>
      </c>
      <c r="S7" s="794"/>
      <c r="T7" s="794"/>
      <c r="U7" s="795"/>
    </row>
    <row r="8" spans="1:21" ht="15.75" customHeight="1" thickBot="1">
      <c r="B8" s="153" t="s">
        <v>13</v>
      </c>
      <c r="C8" s="153"/>
      <c r="D8" s="796">
        <f>Zusammenfassung!$C8</f>
        <v>45169</v>
      </c>
      <c r="E8" s="796"/>
      <c r="F8" s="809"/>
      <c r="G8" s="155" t="s">
        <v>14</v>
      </c>
      <c r="H8" s="154"/>
      <c r="I8" s="154"/>
      <c r="J8" s="803">
        <f>Zusammenfassung!$I8</f>
        <v>9638715</v>
      </c>
      <c r="K8" s="797"/>
      <c r="L8" s="797"/>
      <c r="M8" s="797"/>
      <c r="N8" s="797"/>
      <c r="O8" s="154" t="s">
        <v>15</v>
      </c>
      <c r="P8" s="154"/>
      <c r="Q8" s="156"/>
      <c r="R8" s="803">
        <f>Zusammenfassung!$M8</f>
        <v>0</v>
      </c>
      <c r="S8" s="797"/>
      <c r="T8" s="797"/>
      <c r="U8" s="798"/>
    </row>
    <row r="9" spans="1:21" ht="9.75" customHeight="1" thickBot="1"/>
    <row r="10" spans="1:21" ht="14.4" thickBot="1">
      <c r="B10" s="270" t="s">
        <v>734</v>
      </c>
      <c r="C10" s="287"/>
      <c r="D10" s="287"/>
      <c r="E10" s="287"/>
      <c r="F10" s="266"/>
      <c r="G10" s="267"/>
      <c r="H10" s="822" t="s">
        <v>735</v>
      </c>
      <c r="I10" s="823"/>
      <c r="J10" s="823"/>
      <c r="K10" s="824"/>
      <c r="L10" s="268" t="s">
        <v>736</v>
      </c>
      <c r="M10" s="463"/>
      <c r="N10" s="271" t="s">
        <v>737</v>
      </c>
      <c r="O10" s="825"/>
      <c r="P10" s="826"/>
      <c r="Q10" s="819"/>
      <c r="R10" s="820"/>
      <c r="S10" s="820"/>
      <c r="T10" s="820"/>
      <c r="U10" s="821"/>
    </row>
    <row r="11" spans="1:21" ht="171.75" customHeight="1" thickBot="1">
      <c r="B11" s="265" t="s">
        <v>738</v>
      </c>
      <c r="C11" s="289" t="s">
        <v>854</v>
      </c>
      <c r="D11" s="289" t="s">
        <v>853</v>
      </c>
      <c r="E11" s="289" t="s">
        <v>317</v>
      </c>
      <c r="F11" s="289" t="s">
        <v>852</v>
      </c>
      <c r="G11" s="269" t="s">
        <v>851</v>
      </c>
      <c r="H11" s="289" t="s">
        <v>850</v>
      </c>
      <c r="I11" s="289" t="s">
        <v>849</v>
      </c>
      <c r="J11" s="289" t="s">
        <v>848</v>
      </c>
      <c r="K11" s="289" t="s">
        <v>847</v>
      </c>
      <c r="L11" s="289" t="s">
        <v>846</v>
      </c>
      <c r="M11" s="838" t="s">
        <v>845</v>
      </c>
      <c r="N11" s="839"/>
      <c r="O11" s="839"/>
      <c r="P11" s="839"/>
      <c r="Q11" s="839"/>
      <c r="R11" s="840"/>
      <c r="S11" s="838" t="s">
        <v>412</v>
      </c>
      <c r="T11" s="839"/>
      <c r="U11" s="840"/>
    </row>
    <row r="12" spans="1:21" ht="21.75" hidden="1" customHeight="1">
      <c r="B12" s="659"/>
      <c r="C12" s="290"/>
      <c r="D12" s="290"/>
      <c r="E12" s="290"/>
      <c r="F12" s="290"/>
      <c r="G12" s="291"/>
      <c r="H12" s="290"/>
      <c r="I12" s="290"/>
      <c r="J12" s="290"/>
      <c r="K12" s="290"/>
      <c r="L12" s="290"/>
      <c r="M12" s="290"/>
      <c r="N12" s="290"/>
      <c r="O12" s="290"/>
      <c r="P12" s="290"/>
      <c r="Q12" s="290"/>
      <c r="R12" s="290"/>
      <c r="S12" s="290"/>
      <c r="T12" s="290"/>
      <c r="U12" s="660"/>
    </row>
    <row r="13" spans="1:21" ht="15" hidden="1" thickBot="1">
      <c r="B13" s="661"/>
      <c r="C13" s="682" t="s">
        <v>858</v>
      </c>
      <c r="D13" s="686"/>
      <c r="E13"/>
      <c r="F13"/>
      <c r="G13"/>
      <c r="H13"/>
      <c r="I13"/>
      <c r="J13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662"/>
    </row>
    <row r="14" spans="1:21" ht="15" hidden="1" thickBot="1">
      <c r="B14" s="661"/>
      <c r="C14" s="682" t="s">
        <v>854</v>
      </c>
      <c r="D14" s="683" t="s">
        <v>739</v>
      </c>
      <c r="E14"/>
      <c r="F14"/>
      <c r="G14"/>
      <c r="H14"/>
      <c r="I14"/>
      <c r="J14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662"/>
    </row>
    <row r="15" spans="1:21">
      <c r="B15" s="296">
        <v>1</v>
      </c>
      <c r="C15" s="684" t="s">
        <v>741</v>
      </c>
      <c r="D15" s="685">
        <v>0.16809999999999997</v>
      </c>
      <c r="E15" s="467" t="str">
        <f>IF(OR(ISBLANK(C15),C15="(Leer)"), "", VLOOKUP(C15,(list_Rohstoffschlüssel),2,FALSE))</f>
        <v>KU02</v>
      </c>
      <c r="F15" s="475"/>
      <c r="G15" s="464">
        <f t="shared" ref="G15:G20" si="0">D15*F15</f>
        <v>0</v>
      </c>
      <c r="H15" s="478"/>
      <c r="I15" s="478"/>
      <c r="J15" s="487"/>
      <c r="K15" s="488"/>
      <c r="L15" s="488"/>
      <c r="M15" s="841">
        <f t="shared" ref="M15:M21" si="1">IF(OR(ISBLANK(C15),C15="(Leer)"), "", VLOOKUP(C15,(list_Rohstoffschlüssel),3,FALSE))</f>
        <v>0</v>
      </c>
      <c r="N15" s="842"/>
      <c r="O15" s="842"/>
      <c r="P15" s="842"/>
      <c r="Q15" s="842"/>
      <c r="R15" s="843"/>
      <c r="S15" s="844"/>
      <c r="T15" s="845"/>
      <c r="U15" s="846"/>
    </row>
    <row r="16" spans="1:21" ht="14.4">
      <c r="B16" s="296">
        <v>2</v>
      </c>
      <c r="C16" s="52"/>
      <c r="D16" s="52"/>
      <c r="E16" s="468" t="str">
        <f t="shared" ref="E16:E21" si="2">IF(OR(ISBLANK(C16),C16="(Leer)"), "", VLOOKUP(C16,(list_Rohstoffschlüssel),2,FALSE))</f>
        <v/>
      </c>
      <c r="F16" s="476"/>
      <c r="G16" s="465">
        <f t="shared" si="0"/>
        <v>0</v>
      </c>
      <c r="H16" s="480"/>
      <c r="I16" s="480"/>
      <c r="J16" s="489"/>
      <c r="K16" s="490"/>
      <c r="L16" s="490"/>
      <c r="M16" s="812" t="str">
        <f t="shared" si="1"/>
        <v/>
      </c>
      <c r="N16" s="813"/>
      <c r="O16" s="813"/>
      <c r="P16" s="813"/>
      <c r="Q16" s="813"/>
      <c r="R16" s="814"/>
      <c r="S16" s="815"/>
      <c r="T16" s="816"/>
      <c r="U16" s="817"/>
    </row>
    <row r="17" spans="2:21" ht="14.4">
      <c r="B17" s="296">
        <v>3</v>
      </c>
      <c r="C17" s="52"/>
      <c r="D17" s="52"/>
      <c r="E17" s="468" t="str">
        <f t="shared" si="2"/>
        <v/>
      </c>
      <c r="F17" s="476"/>
      <c r="G17" s="465">
        <f t="shared" si="0"/>
        <v>0</v>
      </c>
      <c r="H17" s="480"/>
      <c r="I17" s="480"/>
      <c r="J17" s="489"/>
      <c r="K17" s="490"/>
      <c r="L17" s="490"/>
      <c r="M17" s="812" t="str">
        <f t="shared" si="1"/>
        <v/>
      </c>
      <c r="N17" s="813"/>
      <c r="O17" s="813"/>
      <c r="P17" s="813"/>
      <c r="Q17" s="813"/>
      <c r="R17" s="814"/>
      <c r="S17" s="815"/>
      <c r="T17" s="816"/>
      <c r="U17" s="817"/>
    </row>
    <row r="18" spans="2:21" ht="14.4">
      <c r="B18" s="296">
        <v>4</v>
      </c>
      <c r="C18" s="52"/>
      <c r="D18" s="52"/>
      <c r="E18" s="468" t="str">
        <f t="shared" si="2"/>
        <v/>
      </c>
      <c r="F18" s="476"/>
      <c r="G18" s="465">
        <f t="shared" si="0"/>
        <v>0</v>
      </c>
      <c r="H18" s="480"/>
      <c r="I18" s="480"/>
      <c r="J18" s="489"/>
      <c r="K18" s="490"/>
      <c r="L18" s="490"/>
      <c r="M18" s="812" t="str">
        <f t="shared" si="1"/>
        <v/>
      </c>
      <c r="N18" s="813"/>
      <c r="O18" s="813"/>
      <c r="P18" s="813"/>
      <c r="Q18" s="813"/>
      <c r="R18" s="814"/>
      <c r="S18" s="815"/>
      <c r="T18" s="816"/>
      <c r="U18" s="817"/>
    </row>
    <row r="19" spans="2:21" ht="14.4">
      <c r="B19" s="296">
        <v>5</v>
      </c>
      <c r="C19" s="52"/>
      <c r="D19" s="52"/>
      <c r="E19" s="468" t="str">
        <f t="shared" si="2"/>
        <v/>
      </c>
      <c r="F19" s="476"/>
      <c r="G19" s="465">
        <f t="shared" si="0"/>
        <v>0</v>
      </c>
      <c r="H19" s="480"/>
      <c r="I19" s="480"/>
      <c r="J19" s="489"/>
      <c r="K19" s="490"/>
      <c r="L19" s="490"/>
      <c r="M19" s="812" t="str">
        <f t="shared" si="1"/>
        <v/>
      </c>
      <c r="N19" s="813"/>
      <c r="O19" s="813"/>
      <c r="P19" s="813"/>
      <c r="Q19" s="813"/>
      <c r="R19" s="814"/>
      <c r="S19" s="815"/>
      <c r="T19" s="816"/>
      <c r="U19" s="817"/>
    </row>
    <row r="20" spans="2:21" ht="14.4">
      <c r="B20" s="296">
        <v>6</v>
      </c>
      <c r="C20" s="52"/>
      <c r="D20" s="52"/>
      <c r="E20" s="468" t="str">
        <f t="shared" si="2"/>
        <v/>
      </c>
      <c r="F20" s="476"/>
      <c r="G20" s="465">
        <f t="shared" si="0"/>
        <v>0</v>
      </c>
      <c r="H20" s="480"/>
      <c r="I20" s="480"/>
      <c r="J20" s="489"/>
      <c r="K20" s="490"/>
      <c r="L20" s="490"/>
      <c r="M20" s="812" t="str">
        <f t="shared" si="1"/>
        <v/>
      </c>
      <c r="N20" s="813"/>
      <c r="O20" s="813"/>
      <c r="P20" s="813"/>
      <c r="Q20" s="813"/>
      <c r="R20" s="814"/>
      <c r="S20" s="815"/>
      <c r="T20" s="816"/>
      <c r="U20" s="817"/>
    </row>
    <row r="21" spans="2:21" ht="15" thickBot="1">
      <c r="B21" s="296">
        <v>7</v>
      </c>
      <c r="C21" s="52"/>
      <c r="D21" s="52"/>
      <c r="E21" s="493" t="str">
        <f t="shared" si="2"/>
        <v/>
      </c>
      <c r="F21" s="477"/>
      <c r="G21" s="466"/>
      <c r="H21" s="482"/>
      <c r="I21" s="482"/>
      <c r="J21" s="491"/>
      <c r="K21" s="492"/>
      <c r="L21" s="492"/>
      <c r="M21" s="835" t="str">
        <f t="shared" si="1"/>
        <v/>
      </c>
      <c r="N21" s="836"/>
      <c r="O21" s="836"/>
      <c r="P21" s="836"/>
      <c r="Q21" s="836"/>
      <c r="R21" s="837"/>
      <c r="S21" s="829"/>
      <c r="T21" s="830"/>
      <c r="U21" s="831"/>
    </row>
    <row r="22" spans="2:21" ht="16.2" thickBot="1">
      <c r="B22" s="832" t="s">
        <v>840</v>
      </c>
      <c r="C22" s="833"/>
      <c r="D22" s="833"/>
      <c r="E22" s="833"/>
      <c r="F22" s="833"/>
      <c r="G22" s="833"/>
      <c r="H22" s="833"/>
      <c r="I22" s="833"/>
      <c r="J22" s="833"/>
      <c r="K22" s="833"/>
      <c r="L22" s="833"/>
      <c r="M22" s="833"/>
      <c r="N22" s="833"/>
      <c r="O22" s="833"/>
      <c r="P22" s="833"/>
      <c r="Q22" s="833"/>
      <c r="R22" s="833"/>
      <c r="S22" s="833"/>
      <c r="T22" s="833"/>
      <c r="U22" s="834"/>
    </row>
    <row r="23" spans="2:21" ht="14.4" thickBot="1"/>
    <row r="24" spans="2:21" ht="14.4" thickBot="1">
      <c r="B24" s="849" t="s">
        <v>769</v>
      </c>
      <c r="C24" s="850"/>
      <c r="D24" s="850"/>
      <c r="E24" s="850"/>
      <c r="F24" s="850"/>
      <c r="G24" s="850"/>
      <c r="H24" s="850"/>
      <c r="I24" s="850"/>
      <c r="J24" s="850"/>
      <c r="K24" s="850"/>
      <c r="L24" s="850"/>
      <c r="M24" s="850"/>
      <c r="N24" s="850"/>
      <c r="O24" s="850"/>
      <c r="P24" s="850"/>
      <c r="Q24" s="850"/>
      <c r="R24" s="850"/>
      <c r="S24" s="850"/>
      <c r="T24" s="850"/>
      <c r="U24" s="851"/>
    </row>
    <row r="25" spans="2:21">
      <c r="B25" s="295">
        <v>1</v>
      </c>
      <c r="C25" s="478"/>
      <c r="D25" s="479"/>
      <c r="E25" s="472" t="str">
        <f t="shared" ref="E25:E31" si="3">IF(ISBLANK(C25), "", VLOOKUP(C25,(list_Rohstoffschlüssel),2,FALSE))</f>
        <v/>
      </c>
      <c r="F25" s="475"/>
      <c r="G25" s="469">
        <f t="shared" ref="G25:G31" si="4">D25*F25</f>
        <v>0</v>
      </c>
      <c r="H25" s="478"/>
      <c r="I25" s="478"/>
      <c r="J25" s="475"/>
      <c r="K25" s="484"/>
      <c r="L25" s="484"/>
      <c r="M25" s="852" t="str">
        <f t="shared" ref="M25:M31" si="5">IF(OR(ISBLANK(C25),C25="(Leer)"), "", VLOOKUP(C25,(list_Rohstoffschlüssel),3,FALSE))</f>
        <v/>
      </c>
      <c r="N25" s="853"/>
      <c r="O25" s="853"/>
      <c r="P25" s="853"/>
      <c r="Q25" s="853"/>
      <c r="R25" s="853"/>
      <c r="S25" s="853"/>
      <c r="T25" s="853"/>
      <c r="U25" s="854"/>
    </row>
    <row r="26" spans="2:21">
      <c r="B26" s="296">
        <v>2</v>
      </c>
      <c r="C26" s="480"/>
      <c r="D26" s="481"/>
      <c r="E26" s="473" t="str">
        <f t="shared" si="3"/>
        <v/>
      </c>
      <c r="F26" s="476"/>
      <c r="G26" s="470">
        <f t="shared" si="4"/>
        <v>0</v>
      </c>
      <c r="H26" s="480"/>
      <c r="I26" s="480"/>
      <c r="J26" s="476"/>
      <c r="K26" s="485"/>
      <c r="L26" s="485"/>
      <c r="M26" s="827" t="str">
        <f t="shared" si="5"/>
        <v/>
      </c>
      <c r="N26" s="827"/>
      <c r="O26" s="827"/>
      <c r="P26" s="827"/>
      <c r="Q26" s="827"/>
      <c r="R26" s="827"/>
      <c r="S26" s="827"/>
      <c r="T26" s="827"/>
      <c r="U26" s="828"/>
    </row>
    <row r="27" spans="2:21">
      <c r="B27" s="296">
        <v>3</v>
      </c>
      <c r="C27" s="480"/>
      <c r="D27" s="481"/>
      <c r="E27" s="473" t="str">
        <f t="shared" si="3"/>
        <v/>
      </c>
      <c r="F27" s="476"/>
      <c r="G27" s="470">
        <f t="shared" si="4"/>
        <v>0</v>
      </c>
      <c r="H27" s="480"/>
      <c r="I27" s="480"/>
      <c r="J27" s="476"/>
      <c r="K27" s="485"/>
      <c r="L27" s="485"/>
      <c r="M27" s="827" t="str">
        <f t="shared" si="5"/>
        <v/>
      </c>
      <c r="N27" s="827"/>
      <c r="O27" s="827"/>
      <c r="P27" s="827"/>
      <c r="Q27" s="827"/>
      <c r="R27" s="827"/>
      <c r="S27" s="827"/>
      <c r="T27" s="827"/>
      <c r="U27" s="828"/>
    </row>
    <row r="28" spans="2:21">
      <c r="B28" s="296">
        <v>4</v>
      </c>
      <c r="C28" s="480"/>
      <c r="D28" s="481"/>
      <c r="E28" s="473" t="str">
        <f t="shared" si="3"/>
        <v/>
      </c>
      <c r="F28" s="476"/>
      <c r="G28" s="470">
        <f t="shared" si="4"/>
        <v>0</v>
      </c>
      <c r="H28" s="480"/>
      <c r="I28" s="480"/>
      <c r="J28" s="476"/>
      <c r="K28" s="485"/>
      <c r="L28" s="485"/>
      <c r="M28" s="827" t="str">
        <f t="shared" si="5"/>
        <v/>
      </c>
      <c r="N28" s="827"/>
      <c r="O28" s="827"/>
      <c r="P28" s="827"/>
      <c r="Q28" s="827"/>
      <c r="R28" s="827"/>
      <c r="S28" s="827"/>
      <c r="T28" s="827"/>
      <c r="U28" s="828"/>
    </row>
    <row r="29" spans="2:21">
      <c r="B29" s="296">
        <v>5</v>
      </c>
      <c r="C29" s="480"/>
      <c r="D29" s="481"/>
      <c r="E29" s="473" t="str">
        <f t="shared" si="3"/>
        <v/>
      </c>
      <c r="F29" s="476"/>
      <c r="G29" s="470">
        <f t="shared" si="4"/>
        <v>0</v>
      </c>
      <c r="H29" s="480"/>
      <c r="I29" s="480"/>
      <c r="J29" s="476"/>
      <c r="K29" s="485"/>
      <c r="L29" s="485"/>
      <c r="M29" s="827" t="str">
        <f t="shared" si="5"/>
        <v/>
      </c>
      <c r="N29" s="827"/>
      <c r="O29" s="827"/>
      <c r="P29" s="827"/>
      <c r="Q29" s="827"/>
      <c r="R29" s="827"/>
      <c r="S29" s="827"/>
      <c r="T29" s="827"/>
      <c r="U29" s="828"/>
    </row>
    <row r="30" spans="2:21">
      <c r="B30" s="296">
        <v>6</v>
      </c>
      <c r="C30" s="480"/>
      <c r="D30" s="481"/>
      <c r="E30" s="473" t="str">
        <f t="shared" si="3"/>
        <v/>
      </c>
      <c r="F30" s="476"/>
      <c r="G30" s="470">
        <f t="shared" si="4"/>
        <v>0</v>
      </c>
      <c r="H30" s="480"/>
      <c r="I30" s="480"/>
      <c r="J30" s="476"/>
      <c r="K30" s="485"/>
      <c r="L30" s="485"/>
      <c r="M30" s="827" t="str">
        <f t="shared" si="5"/>
        <v/>
      </c>
      <c r="N30" s="827"/>
      <c r="O30" s="827"/>
      <c r="P30" s="827"/>
      <c r="Q30" s="827"/>
      <c r="R30" s="827"/>
      <c r="S30" s="827"/>
      <c r="T30" s="827"/>
      <c r="U30" s="828"/>
    </row>
    <row r="31" spans="2:21" ht="14.4" thickBot="1">
      <c r="B31" s="294">
        <v>7</v>
      </c>
      <c r="C31" s="482"/>
      <c r="D31" s="483"/>
      <c r="E31" s="474" t="str">
        <f t="shared" si="3"/>
        <v/>
      </c>
      <c r="F31" s="477"/>
      <c r="G31" s="471">
        <f t="shared" si="4"/>
        <v>0</v>
      </c>
      <c r="H31" s="482"/>
      <c r="I31" s="482"/>
      <c r="J31" s="477"/>
      <c r="K31" s="486"/>
      <c r="L31" s="486"/>
      <c r="M31" s="855" t="str">
        <f t="shared" si="5"/>
        <v/>
      </c>
      <c r="N31" s="855"/>
      <c r="O31" s="855"/>
      <c r="P31" s="855"/>
      <c r="Q31" s="855"/>
      <c r="R31" s="855"/>
      <c r="S31" s="855"/>
      <c r="T31" s="855"/>
      <c r="U31" s="856"/>
    </row>
    <row r="32" spans="2:21" ht="14.4" thickBot="1"/>
    <row r="33" spans="2:21">
      <c r="B33" s="300"/>
      <c r="C33" s="301"/>
      <c r="D33" s="301"/>
      <c r="E33" s="301"/>
      <c r="F33" s="301"/>
      <c r="G33" s="301"/>
      <c r="H33" s="301"/>
      <c r="I33" s="301"/>
      <c r="J33" s="301"/>
      <c r="K33" s="301"/>
      <c r="L33" s="301"/>
      <c r="M33" s="301"/>
      <c r="N33" s="301"/>
      <c r="O33" s="301"/>
      <c r="P33" s="301"/>
      <c r="Q33" s="301"/>
      <c r="R33" s="301"/>
      <c r="S33" s="301"/>
      <c r="T33" s="301"/>
      <c r="U33" s="302"/>
    </row>
    <row r="34" spans="2:21" ht="14.4" thickBot="1">
      <c r="B34" s="847" t="s">
        <v>411</v>
      </c>
      <c r="C34" s="848"/>
      <c r="D34" s="848"/>
      <c r="E34" s="848"/>
      <c r="F34" s="848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303"/>
    </row>
    <row r="35" spans="2:21" ht="5.25" customHeight="1"/>
  </sheetData>
  <mergeCells count="43">
    <mergeCell ref="B34:F34"/>
    <mergeCell ref="B24:U24"/>
    <mergeCell ref="M25:U25"/>
    <mergeCell ref="M26:U26"/>
    <mergeCell ref="M27:U27"/>
    <mergeCell ref="M31:U31"/>
    <mergeCell ref="D7:F7"/>
    <mergeCell ref="D8:F8"/>
    <mergeCell ref="M30:U30"/>
    <mergeCell ref="S21:U21"/>
    <mergeCell ref="B22:U22"/>
    <mergeCell ref="M21:R21"/>
    <mergeCell ref="M28:U28"/>
    <mergeCell ref="M11:R11"/>
    <mergeCell ref="S11:U11"/>
    <mergeCell ref="M15:R15"/>
    <mergeCell ref="S15:U15"/>
    <mergeCell ref="M29:U29"/>
    <mergeCell ref="S20:U20"/>
    <mergeCell ref="M16:R16"/>
    <mergeCell ref="J7:N7"/>
    <mergeCell ref="R7:U7"/>
    <mergeCell ref="J8:N8"/>
    <mergeCell ref="R8:U8"/>
    <mergeCell ref="Q10:U10"/>
    <mergeCell ref="H10:K10"/>
    <mergeCell ref="O10:P10"/>
    <mergeCell ref="B4:D4"/>
    <mergeCell ref="J5:N5"/>
    <mergeCell ref="R5:U5"/>
    <mergeCell ref="J6:N6"/>
    <mergeCell ref="R6:U6"/>
    <mergeCell ref="D5:F5"/>
    <mergeCell ref="D6:F6"/>
    <mergeCell ref="G4:I4"/>
    <mergeCell ref="M17:R17"/>
    <mergeCell ref="M18:R18"/>
    <mergeCell ref="M19:R19"/>
    <mergeCell ref="M20:R20"/>
    <mergeCell ref="S16:U16"/>
    <mergeCell ref="S17:U17"/>
    <mergeCell ref="S18:U18"/>
    <mergeCell ref="S19:U19"/>
  </mergeCells>
  <conditionalFormatting sqref="F25:F31">
    <cfRule type="expression" dxfId="11" priority="2" stopIfTrue="1">
      <formula>OR($E25="LZ")</formula>
    </cfRule>
  </conditionalFormatting>
  <conditionalFormatting sqref="F17:G17">
    <cfRule type="expression" dxfId="10" priority="9" stopIfTrue="1">
      <formula>OR($E17="LZ")</formula>
    </cfRule>
  </conditionalFormatting>
  <conditionalFormatting sqref="F15:L21">
    <cfRule type="expression" dxfId="9" priority="10" stopIfTrue="1">
      <formula>OR($E15="LZ")</formula>
    </cfRule>
  </conditionalFormatting>
  <conditionalFormatting sqref="F19:L19">
    <cfRule type="expression" dxfId="8" priority="8" stopIfTrue="1">
      <formula>OR($E19="LZ")</formula>
    </cfRule>
  </conditionalFormatting>
  <conditionalFormatting sqref="F21:L21">
    <cfRule type="expression" dxfId="7" priority="1" stopIfTrue="1">
      <formula>OR($E21="LZ")</formula>
    </cfRule>
  </conditionalFormatting>
  <conditionalFormatting sqref="H15:L15">
    <cfRule type="expression" dxfId="6" priority="41" stopIfTrue="1">
      <formula>OR(#REF!="LZ")</formula>
    </cfRule>
  </conditionalFormatting>
  <conditionalFormatting sqref="H16:L16">
    <cfRule type="expression" dxfId="5" priority="6" stopIfTrue="1">
      <formula>OR($E36="LZ")</formula>
    </cfRule>
  </conditionalFormatting>
  <conditionalFormatting sqref="H17:L17">
    <cfRule type="expression" dxfId="4" priority="5" stopIfTrue="1">
      <formula>OR($E39="LZ")</formula>
    </cfRule>
  </conditionalFormatting>
  <conditionalFormatting sqref="H20:L20">
    <cfRule type="expression" dxfId="3" priority="42" stopIfTrue="1">
      <formula>OR(#REF!="LZ")</formula>
    </cfRule>
  </conditionalFormatting>
  <conditionalFormatting sqref="J16:J21">
    <cfRule type="expression" dxfId="2" priority="30" stopIfTrue="1">
      <formula>OR($E16="LZ")</formula>
    </cfRule>
  </conditionalFormatting>
  <conditionalFormatting sqref="J16:L16">
    <cfRule type="expression" dxfId="1" priority="36" stopIfTrue="1">
      <formula>OR($E36="LZ")</formula>
    </cfRule>
  </conditionalFormatting>
  <conditionalFormatting sqref="J17:L17">
    <cfRule type="expression" dxfId="0" priority="37" stopIfTrue="1">
      <formula>OR($E39="LZ")</formula>
    </cfRule>
  </conditionalFormatting>
  <dataValidations count="2">
    <dataValidation type="list" allowBlank="1" showInputMessage="1" showErrorMessage="1" sqref="H25:H31 H15:H21" xr:uid="{00000000-0002-0000-0400-000000000000}">
      <formula1>Abwicklungsmodelle</formula1>
    </dataValidation>
    <dataValidation type="list" allowBlank="1" showInputMessage="1" showErrorMessage="1" sqref="C25:C31" xr:uid="{00000000-0002-0000-0400-000001000000}">
      <formula1>Ergänzungsschlüssel</formula1>
    </dataValidation>
  </dataValidations>
  <hyperlinks>
    <hyperlink ref="T2" r:id="rId2" xr:uid="{00000000-0004-0000-0400-000000000000}"/>
  </hyperlinks>
  <pageMargins left="0.70866141732283472" right="0.70866141732283472" top="0.78740157480314965" bottom="0.78740157480314965" header="0.31496062992125984" footer="0.31496062992125984"/>
  <pageSetup paperSize="9" scale="55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05Pra">
    <pageSetUpPr fitToPage="1"/>
  </sheetPr>
  <dimension ref="B1:AH87"/>
  <sheetViews>
    <sheetView topLeftCell="T1" zoomScale="120" zoomScaleNormal="120" workbookViewId="0">
      <pane ySplit="6" topLeftCell="A7" activePane="bottomLeft" state="frozen"/>
      <selection activeCell="S44" sqref="S44"/>
      <selection pane="bottomLeft" activeCell="W9" sqref="W9"/>
    </sheetView>
  </sheetViews>
  <sheetFormatPr baseColWidth="10" defaultColWidth="11.44140625" defaultRowHeight="14.4"/>
  <cols>
    <col min="1" max="1" width="2.6640625" customWidth="1"/>
    <col min="2" max="2" width="11.6640625" customWidth="1"/>
    <col min="3" max="3" width="40.6640625" customWidth="1"/>
    <col min="4" max="4" width="10.44140625" customWidth="1"/>
    <col min="5" max="5" width="35.33203125" customWidth="1"/>
    <col min="6" max="6" width="29.33203125" customWidth="1"/>
    <col min="7" max="7" width="4.33203125" customWidth="1"/>
    <col min="8" max="8" width="5.5546875" bestFit="1" customWidth="1"/>
    <col min="9" max="9" width="37.44140625" customWidth="1"/>
    <col min="10" max="10" width="4.33203125" customWidth="1"/>
    <col min="11" max="11" width="29.5546875" customWidth="1"/>
    <col min="12" max="12" width="18.109375" customWidth="1"/>
    <col min="13" max="13" width="14.6640625" customWidth="1"/>
    <col min="14" max="14" width="4.5546875" customWidth="1"/>
    <col min="15" max="15" width="48.44140625" customWidth="1"/>
    <col min="16" max="16" width="9.5546875" customWidth="1"/>
    <col min="17" max="17" width="17.5546875" customWidth="1"/>
    <col min="18" max="18" width="4" customWidth="1"/>
    <col min="19" max="19" width="86.6640625" customWidth="1"/>
    <col min="20" max="20" width="17.6640625" bestFit="1" customWidth="1"/>
    <col min="21" max="21" width="17.5546875" customWidth="1"/>
    <col min="22" max="22" width="4.88671875" customWidth="1"/>
    <col min="23" max="23" width="25.44140625" customWidth="1"/>
    <col min="24" max="24" width="5" customWidth="1"/>
    <col min="25" max="25" width="6.33203125" customWidth="1"/>
    <col min="26" max="26" width="4.109375" customWidth="1"/>
    <col min="27" max="27" width="26.109375" bestFit="1" customWidth="1"/>
    <col min="29" max="29" width="13.44140625" bestFit="1" customWidth="1"/>
    <col min="32" max="32" width="48" style="259" bestFit="1" customWidth="1"/>
    <col min="34" max="34" width="85.5546875" bestFit="1" customWidth="1"/>
    <col min="35" max="35" width="18.44140625" customWidth="1"/>
  </cols>
  <sheetData>
    <row r="1" spans="2:34" ht="9.75" customHeight="1" thickBot="1"/>
    <row r="2" spans="2:34" ht="26.25" customHeight="1">
      <c r="B2" s="9" t="s">
        <v>1</v>
      </c>
      <c r="C2" s="12"/>
      <c r="D2" s="1"/>
      <c r="E2" s="1"/>
      <c r="F2" s="12" t="s">
        <v>2</v>
      </c>
      <c r="G2" s="1"/>
      <c r="H2" s="1"/>
      <c r="I2" s="1"/>
      <c r="J2" s="1"/>
      <c r="K2" s="2"/>
    </row>
    <row r="3" spans="2:34" ht="17.399999999999999">
      <c r="B3" s="10" t="s">
        <v>3</v>
      </c>
      <c r="C3" s="13"/>
      <c r="D3" s="7"/>
      <c r="E3" s="7"/>
      <c r="F3" s="15" t="s">
        <v>59</v>
      </c>
      <c r="G3" s="3"/>
      <c r="H3" s="3"/>
      <c r="I3" s="3"/>
      <c r="J3" s="3"/>
      <c r="K3" s="4"/>
    </row>
    <row r="4" spans="2:34" ht="15" thickBot="1">
      <c r="B4" s="11" t="s">
        <v>394</v>
      </c>
      <c r="C4" s="14"/>
      <c r="D4" s="19"/>
      <c r="E4" s="19"/>
      <c r="F4" s="5"/>
      <c r="G4" s="5"/>
      <c r="H4" s="5"/>
      <c r="I4" s="5"/>
      <c r="J4" s="5"/>
      <c r="K4" s="6"/>
      <c r="O4" s="35">
        <v>41925</v>
      </c>
      <c r="S4" s="35">
        <v>41925</v>
      </c>
    </row>
    <row r="6" spans="2:34" ht="33.75" customHeight="1">
      <c r="B6" s="272" t="s">
        <v>60</v>
      </c>
      <c r="C6" s="273"/>
      <c r="D6" s="8"/>
      <c r="E6" s="25" t="s">
        <v>61</v>
      </c>
      <c r="F6" s="26"/>
      <c r="G6" s="27"/>
      <c r="H6" s="857" t="s">
        <v>465</v>
      </c>
      <c r="I6" s="858"/>
      <c r="J6" s="27"/>
      <c r="K6" s="25" t="s">
        <v>279</v>
      </c>
      <c r="L6" s="28" t="s">
        <v>288</v>
      </c>
      <c r="M6" s="29" t="s">
        <v>226</v>
      </c>
      <c r="O6" s="32" t="s">
        <v>402</v>
      </c>
      <c r="P6" s="39"/>
      <c r="Q6" s="33" t="s">
        <v>311</v>
      </c>
      <c r="S6" s="32" t="s">
        <v>325</v>
      </c>
      <c r="T6" s="39" t="s">
        <v>419</v>
      </c>
      <c r="U6" s="33" t="s">
        <v>311</v>
      </c>
      <c r="W6" s="36" t="s">
        <v>403</v>
      </c>
      <c r="Y6" s="36" t="s">
        <v>404</v>
      </c>
      <c r="AA6" s="38" t="s">
        <v>416</v>
      </c>
      <c r="AC6" s="38" t="s">
        <v>462</v>
      </c>
      <c r="AE6" s="44" t="s">
        <v>598</v>
      </c>
      <c r="AF6" s="53"/>
      <c r="AH6" s="51" t="s">
        <v>644</v>
      </c>
    </row>
    <row r="7" spans="2:34" ht="6" customHeight="1" thickBot="1">
      <c r="B7" s="274"/>
      <c r="C7" s="275"/>
      <c r="E7" s="24"/>
      <c r="F7" s="24"/>
      <c r="K7" s="24"/>
      <c r="L7" s="24"/>
      <c r="M7" s="24"/>
    </row>
    <row r="8" spans="2:34">
      <c r="B8" s="276" t="s">
        <v>501</v>
      </c>
      <c r="C8" s="277" t="s">
        <v>550</v>
      </c>
      <c r="E8" s="41" t="s">
        <v>45</v>
      </c>
      <c r="F8" s="42" t="s">
        <v>84</v>
      </c>
      <c r="H8" s="41" t="s">
        <v>45</v>
      </c>
      <c r="I8" s="42" t="s">
        <v>84</v>
      </c>
      <c r="K8" s="22" t="s">
        <v>122</v>
      </c>
      <c r="L8" t="s">
        <v>123</v>
      </c>
      <c r="M8" s="23" t="s">
        <v>224</v>
      </c>
      <c r="O8" s="575" t="s">
        <v>420</v>
      </c>
      <c r="P8" s="576" t="s">
        <v>326</v>
      </c>
      <c r="Q8" s="31"/>
      <c r="S8" s="583" t="s">
        <v>350</v>
      </c>
      <c r="T8" s="584" t="s">
        <v>327</v>
      </c>
      <c r="U8" s="31"/>
      <c r="W8" s="37" t="s">
        <v>335</v>
      </c>
      <c r="Y8" s="30" t="s">
        <v>377</v>
      </c>
      <c r="AA8" s="37" t="s">
        <v>326</v>
      </c>
      <c r="AC8" s="37" t="s">
        <v>463</v>
      </c>
      <c r="AE8" s="45">
        <v>40765</v>
      </c>
      <c r="AF8" s="260" t="s">
        <v>599</v>
      </c>
      <c r="AH8" s="52" t="s">
        <v>643</v>
      </c>
    </row>
    <row r="9" spans="2:34">
      <c r="B9" s="278" t="s">
        <v>502</v>
      </c>
      <c r="C9" s="279" t="s">
        <v>551</v>
      </c>
      <c r="E9" s="49" t="s">
        <v>65</v>
      </c>
      <c r="F9" s="48" t="s">
        <v>64</v>
      </c>
      <c r="H9" s="49" t="s">
        <v>65</v>
      </c>
      <c r="I9" s="48" t="s">
        <v>64</v>
      </c>
      <c r="K9" s="22" t="s">
        <v>88</v>
      </c>
      <c r="L9" t="s">
        <v>89</v>
      </c>
      <c r="M9" s="23" t="s">
        <v>225</v>
      </c>
      <c r="O9" s="577" t="s">
        <v>421</v>
      </c>
      <c r="P9" s="578" t="s">
        <v>326</v>
      </c>
      <c r="Q9" s="23"/>
      <c r="S9" s="585" t="s">
        <v>351</v>
      </c>
      <c r="T9" s="586" t="s">
        <v>327</v>
      </c>
      <c r="U9" s="23"/>
      <c r="W9" s="47" t="s">
        <v>942</v>
      </c>
      <c r="Y9" s="21" t="s">
        <v>378</v>
      </c>
      <c r="AA9" s="20" t="s">
        <v>327</v>
      </c>
      <c r="AC9" s="20" t="s">
        <v>453</v>
      </c>
      <c r="AE9" s="46">
        <v>40765</v>
      </c>
      <c r="AF9" s="34" t="s">
        <v>600</v>
      </c>
    </row>
    <row r="10" spans="2:34">
      <c r="B10" s="278" t="s">
        <v>503</v>
      </c>
      <c r="C10" s="279" t="s">
        <v>552</v>
      </c>
      <c r="E10" s="49" t="s">
        <v>67</v>
      </c>
      <c r="F10" s="48" t="s">
        <v>68</v>
      </c>
      <c r="H10" s="49" t="s">
        <v>67</v>
      </c>
      <c r="I10" s="48" t="s">
        <v>68</v>
      </c>
      <c r="K10" s="22" t="s">
        <v>182</v>
      </c>
      <c r="L10" t="s">
        <v>183</v>
      </c>
      <c r="M10" s="23" t="s">
        <v>227</v>
      </c>
      <c r="O10" s="577" t="s">
        <v>292</v>
      </c>
      <c r="P10" s="578" t="s">
        <v>326</v>
      </c>
      <c r="Q10" s="23"/>
      <c r="S10" s="585" t="s">
        <v>434</v>
      </c>
      <c r="T10" s="586" t="s">
        <v>327</v>
      </c>
      <c r="U10" s="23"/>
      <c r="W10" s="20" t="s">
        <v>366</v>
      </c>
      <c r="AA10" s="20" t="s">
        <v>328</v>
      </c>
      <c r="AC10" s="21" t="s">
        <v>452</v>
      </c>
      <c r="AE10" s="46">
        <v>40765</v>
      </c>
      <c r="AF10" s="34" t="s">
        <v>601</v>
      </c>
    </row>
    <row r="11" spans="2:34">
      <c r="B11" s="278" t="s">
        <v>504</v>
      </c>
      <c r="C11" s="279" t="s">
        <v>553</v>
      </c>
      <c r="E11" s="49" t="s">
        <v>78</v>
      </c>
      <c r="F11" s="48" t="s">
        <v>79</v>
      </c>
      <c r="H11" s="49" t="s">
        <v>78</v>
      </c>
      <c r="I11" s="48" t="s">
        <v>79</v>
      </c>
      <c r="K11" s="22" t="s">
        <v>90</v>
      </c>
      <c r="L11" t="s">
        <v>91</v>
      </c>
      <c r="M11" s="23" t="s">
        <v>83</v>
      </c>
      <c r="O11" s="577" t="s">
        <v>422</v>
      </c>
      <c r="P11" s="578" t="s">
        <v>326</v>
      </c>
      <c r="Q11" s="23"/>
      <c r="S11" s="585" t="s">
        <v>468</v>
      </c>
      <c r="T11" s="586" t="s">
        <v>327</v>
      </c>
      <c r="U11" s="23"/>
      <c r="W11" s="20" t="s">
        <v>367</v>
      </c>
      <c r="AA11" s="21" t="s">
        <v>644</v>
      </c>
      <c r="AE11" s="46">
        <v>40765</v>
      </c>
      <c r="AF11" s="34" t="s">
        <v>602</v>
      </c>
    </row>
    <row r="12" spans="2:34">
      <c r="B12" s="278" t="s">
        <v>505</v>
      </c>
      <c r="C12" s="279" t="s">
        <v>554</v>
      </c>
      <c r="E12" s="49" t="s">
        <v>227</v>
      </c>
      <c r="F12" s="48" t="s">
        <v>490</v>
      </c>
      <c r="H12" s="49" t="s">
        <v>225</v>
      </c>
      <c r="I12" s="48" t="s">
        <v>603</v>
      </c>
      <c r="K12" s="22" t="s">
        <v>94</v>
      </c>
      <c r="L12" t="s">
        <v>95</v>
      </c>
      <c r="M12" s="23" t="s">
        <v>228</v>
      </c>
      <c r="O12" s="577" t="s">
        <v>294</v>
      </c>
      <c r="P12" s="578" t="s">
        <v>326</v>
      </c>
      <c r="Q12" s="23"/>
      <c r="S12" s="585" t="s">
        <v>873</v>
      </c>
      <c r="T12" s="586" t="s">
        <v>327</v>
      </c>
      <c r="U12" s="23"/>
      <c r="W12" s="20" t="s">
        <v>455</v>
      </c>
      <c r="AE12" s="46">
        <v>40766</v>
      </c>
      <c r="AF12" s="34" t="s">
        <v>628</v>
      </c>
    </row>
    <row r="13" spans="2:34">
      <c r="B13" s="278" t="s">
        <v>506</v>
      </c>
      <c r="C13" s="279" t="s">
        <v>555</v>
      </c>
      <c r="E13" s="49" t="s">
        <v>83</v>
      </c>
      <c r="F13" s="48" t="s">
        <v>478</v>
      </c>
      <c r="H13" s="49" t="s">
        <v>604</v>
      </c>
      <c r="I13" s="48" t="s">
        <v>605</v>
      </c>
      <c r="K13" s="22" t="s">
        <v>92</v>
      </c>
      <c r="L13" t="s">
        <v>93</v>
      </c>
      <c r="M13" s="23" t="s">
        <v>45</v>
      </c>
      <c r="O13" s="577" t="s">
        <v>423</v>
      </c>
      <c r="P13" s="578" t="s">
        <v>326</v>
      </c>
      <c r="Q13" s="23"/>
      <c r="S13" s="585" t="s">
        <v>435</v>
      </c>
      <c r="T13" s="586" t="s">
        <v>327</v>
      </c>
      <c r="U13" s="23"/>
      <c r="W13" s="20" t="s">
        <v>456</v>
      </c>
      <c r="AE13" s="46">
        <v>40766</v>
      </c>
      <c r="AF13" s="34" t="s">
        <v>641</v>
      </c>
    </row>
    <row r="14" spans="2:34">
      <c r="B14" s="278" t="s">
        <v>507</v>
      </c>
      <c r="C14" s="279" t="s">
        <v>556</v>
      </c>
      <c r="E14" s="49" t="s">
        <v>230</v>
      </c>
      <c r="F14" s="48" t="s">
        <v>470</v>
      </c>
      <c r="H14" s="49" t="s">
        <v>227</v>
      </c>
      <c r="I14" s="48" t="s">
        <v>490</v>
      </c>
      <c r="K14" s="22" t="s">
        <v>98</v>
      </c>
      <c r="L14" t="s">
        <v>99</v>
      </c>
      <c r="M14" s="23" t="s">
        <v>229</v>
      </c>
      <c r="O14" s="577" t="s">
        <v>300</v>
      </c>
      <c r="P14" s="578" t="s">
        <v>326</v>
      </c>
      <c r="Q14" s="23"/>
      <c r="S14" s="585" t="s">
        <v>352</v>
      </c>
      <c r="T14" s="586" t="s">
        <v>327</v>
      </c>
      <c r="U14" s="23"/>
      <c r="W14" s="20" t="s">
        <v>368</v>
      </c>
      <c r="AE14" s="46">
        <v>40766</v>
      </c>
      <c r="AF14" s="34" t="s">
        <v>642</v>
      </c>
    </row>
    <row r="15" spans="2:34">
      <c r="B15" s="278" t="s">
        <v>508</v>
      </c>
      <c r="C15" s="279" t="s">
        <v>557</v>
      </c>
      <c r="E15" s="49" t="s">
        <v>66</v>
      </c>
      <c r="F15" s="48" t="s">
        <v>497</v>
      </c>
      <c r="H15" s="49" t="s">
        <v>83</v>
      </c>
      <c r="I15" s="48" t="s">
        <v>478</v>
      </c>
      <c r="K15" s="22" t="s">
        <v>100</v>
      </c>
      <c r="L15" t="s">
        <v>101</v>
      </c>
      <c r="M15" s="23" t="s">
        <v>66</v>
      </c>
      <c r="O15" s="577" t="s">
        <v>303</v>
      </c>
      <c r="P15" s="578" t="s">
        <v>326</v>
      </c>
      <c r="Q15" s="23"/>
      <c r="S15" s="585" t="s">
        <v>469</v>
      </c>
      <c r="T15" s="586" t="s">
        <v>327</v>
      </c>
      <c r="U15" s="23"/>
      <c r="W15" s="20" t="s">
        <v>369</v>
      </c>
      <c r="AE15" s="46">
        <v>40780</v>
      </c>
      <c r="AF15" s="34" t="s">
        <v>645</v>
      </c>
    </row>
    <row r="16" spans="2:34">
      <c r="B16" s="278" t="s">
        <v>509</v>
      </c>
      <c r="C16" s="279" t="s">
        <v>558</v>
      </c>
      <c r="E16" s="49" t="s">
        <v>62</v>
      </c>
      <c r="F16" s="48" t="s">
        <v>496</v>
      </c>
      <c r="H16" s="22" t="s">
        <v>229</v>
      </c>
      <c r="I16" s="23" t="s">
        <v>606</v>
      </c>
      <c r="K16" s="22" t="s">
        <v>96</v>
      </c>
      <c r="L16" t="s">
        <v>97</v>
      </c>
      <c r="M16" s="23" t="s">
        <v>230</v>
      </c>
      <c r="O16" s="577" t="s">
        <v>424</v>
      </c>
      <c r="P16" s="578" t="s">
        <v>326</v>
      </c>
      <c r="Q16" s="23"/>
      <c r="S16" s="585" t="s">
        <v>843</v>
      </c>
      <c r="T16" s="586" t="s">
        <v>327</v>
      </c>
      <c r="U16" s="23"/>
      <c r="W16" s="20" t="s">
        <v>370</v>
      </c>
      <c r="AE16" s="46">
        <v>40780</v>
      </c>
      <c r="AF16" s="34" t="s">
        <v>646</v>
      </c>
    </row>
    <row r="17" spans="2:32">
      <c r="B17" s="278" t="s">
        <v>510</v>
      </c>
      <c r="C17" s="279" t="s">
        <v>559</v>
      </c>
      <c r="E17" s="49" t="s">
        <v>74</v>
      </c>
      <c r="F17" s="48" t="s">
        <v>75</v>
      </c>
      <c r="H17" s="22" t="s">
        <v>228</v>
      </c>
      <c r="I17" s="23" t="s">
        <v>607</v>
      </c>
      <c r="K17" s="22" t="s">
        <v>108</v>
      </c>
      <c r="L17" t="s">
        <v>109</v>
      </c>
      <c r="M17" s="23" t="s">
        <v>78</v>
      </c>
      <c r="O17" s="577" t="s">
        <v>425</v>
      </c>
      <c r="P17" s="578" t="s">
        <v>326</v>
      </c>
      <c r="Q17" s="23"/>
      <c r="S17" s="587" t="s">
        <v>874</v>
      </c>
      <c r="T17" s="588" t="s">
        <v>327</v>
      </c>
      <c r="U17" s="23"/>
      <c r="W17" s="47" t="s">
        <v>336</v>
      </c>
      <c r="AE17" s="46">
        <v>40995</v>
      </c>
      <c r="AF17" s="34" t="s">
        <v>652</v>
      </c>
    </row>
    <row r="18" spans="2:32" ht="28.5" customHeight="1">
      <c r="B18" s="278" t="s">
        <v>511</v>
      </c>
      <c r="C18" s="279" t="s">
        <v>560</v>
      </c>
      <c r="E18" s="49" t="s">
        <v>237</v>
      </c>
      <c r="F18" s="48" t="s">
        <v>479</v>
      </c>
      <c r="H18" s="49" t="s">
        <v>230</v>
      </c>
      <c r="I18" s="48" t="s">
        <v>608</v>
      </c>
      <c r="K18" s="22" t="s">
        <v>116</v>
      </c>
      <c r="L18" t="s">
        <v>117</v>
      </c>
      <c r="M18" s="23" t="s">
        <v>231</v>
      </c>
      <c r="O18" s="577" t="s">
        <v>426</v>
      </c>
      <c r="P18" s="578" t="s">
        <v>326</v>
      </c>
      <c r="Q18" s="23"/>
      <c r="S18" s="585" t="s">
        <v>436</v>
      </c>
      <c r="T18" s="586" t="s">
        <v>327</v>
      </c>
      <c r="U18" s="23"/>
      <c r="W18" s="20" t="s">
        <v>460</v>
      </c>
      <c r="AE18" s="46">
        <v>41039</v>
      </c>
      <c r="AF18" s="34" t="s">
        <v>653</v>
      </c>
    </row>
    <row r="19" spans="2:32">
      <c r="B19" s="278" t="s">
        <v>512</v>
      </c>
      <c r="C19" s="279" t="s">
        <v>561</v>
      </c>
      <c r="E19" s="49" t="s">
        <v>231</v>
      </c>
      <c r="F19" s="48" t="s">
        <v>471</v>
      </c>
      <c r="H19" s="49" t="s">
        <v>66</v>
      </c>
      <c r="I19" s="48" t="s">
        <v>497</v>
      </c>
      <c r="K19" s="22" t="s">
        <v>114</v>
      </c>
      <c r="L19" t="s">
        <v>115</v>
      </c>
      <c r="M19" s="23" t="s">
        <v>45</v>
      </c>
      <c r="O19" s="577" t="s">
        <v>363</v>
      </c>
      <c r="P19" s="578" t="s">
        <v>326</v>
      </c>
      <c r="Q19" s="23"/>
      <c r="S19" s="585" t="s">
        <v>437</v>
      </c>
      <c r="T19" s="586" t="s">
        <v>327</v>
      </c>
      <c r="U19" s="23"/>
      <c r="W19" s="20" t="s">
        <v>461</v>
      </c>
      <c r="AE19" s="46">
        <v>41039</v>
      </c>
      <c r="AF19" s="34" t="s">
        <v>654</v>
      </c>
    </row>
    <row r="20" spans="2:32">
      <c r="B20" s="278" t="s">
        <v>513</v>
      </c>
      <c r="C20" s="279" t="s">
        <v>562</v>
      </c>
      <c r="E20" s="49" t="s">
        <v>224</v>
      </c>
      <c r="F20" s="48" t="s">
        <v>472</v>
      </c>
      <c r="H20" s="49" t="s">
        <v>272</v>
      </c>
      <c r="I20" s="48" t="s">
        <v>609</v>
      </c>
      <c r="K20" s="22" t="s">
        <v>249</v>
      </c>
      <c r="L20" t="s">
        <v>290</v>
      </c>
      <c r="M20" s="23" t="s">
        <v>250</v>
      </c>
      <c r="O20" s="577" t="s">
        <v>427</v>
      </c>
      <c r="P20" s="578" t="s">
        <v>326</v>
      </c>
      <c r="Q20" s="23"/>
      <c r="S20" s="585" t="s">
        <v>353</v>
      </c>
      <c r="T20" s="586" t="s">
        <v>327</v>
      </c>
      <c r="U20" s="23"/>
      <c r="W20" s="20" t="s">
        <v>449</v>
      </c>
      <c r="AE20" s="46">
        <v>41039</v>
      </c>
      <c r="AF20" s="34" t="s">
        <v>655</v>
      </c>
    </row>
    <row r="21" spans="2:32">
      <c r="B21" s="278" t="s">
        <v>514</v>
      </c>
      <c r="C21" s="279" t="s">
        <v>563</v>
      </c>
      <c r="E21" s="49" t="s">
        <v>464</v>
      </c>
      <c r="F21" s="48" t="s">
        <v>473</v>
      </c>
      <c r="H21" s="49" t="s">
        <v>62</v>
      </c>
      <c r="I21" s="48" t="s">
        <v>496</v>
      </c>
      <c r="K21" s="22" t="s">
        <v>120</v>
      </c>
      <c r="L21" t="s">
        <v>121</v>
      </c>
      <c r="M21" s="23" t="s">
        <v>45</v>
      </c>
      <c r="O21" s="577" t="s">
        <v>428</v>
      </c>
      <c r="P21" s="578" t="s">
        <v>326</v>
      </c>
      <c r="Q21" s="23"/>
      <c r="S21" s="585" t="s">
        <v>354</v>
      </c>
      <c r="T21" s="586" t="s">
        <v>327</v>
      </c>
      <c r="U21" s="23"/>
      <c r="W21" s="20" t="s">
        <v>450</v>
      </c>
      <c r="AE21" s="46">
        <v>41039</v>
      </c>
      <c r="AF21" s="34" t="s">
        <v>656</v>
      </c>
    </row>
    <row r="22" spans="2:32" ht="28.8">
      <c r="B22" s="278" t="s">
        <v>515</v>
      </c>
      <c r="C22" s="279" t="s">
        <v>564</v>
      </c>
      <c r="E22" s="49" t="s">
        <v>238</v>
      </c>
      <c r="F22" s="48" t="s">
        <v>480</v>
      </c>
      <c r="H22" s="49" t="s">
        <v>74</v>
      </c>
      <c r="I22" s="48" t="s">
        <v>75</v>
      </c>
      <c r="K22" s="22" t="s">
        <v>126</v>
      </c>
      <c r="L22" t="s">
        <v>127</v>
      </c>
      <c r="M22" s="23" t="s">
        <v>45</v>
      </c>
      <c r="O22" s="577" t="s">
        <v>409</v>
      </c>
      <c r="P22" s="578" t="s">
        <v>326</v>
      </c>
      <c r="Q22" s="23"/>
      <c r="S22" s="585" t="s">
        <v>438</v>
      </c>
      <c r="T22" s="586" t="s">
        <v>327</v>
      </c>
      <c r="U22" s="23"/>
      <c r="W22" s="20" t="s">
        <v>451</v>
      </c>
      <c r="AE22" s="46">
        <v>41039</v>
      </c>
      <c r="AF22" s="34" t="s">
        <v>657</v>
      </c>
    </row>
    <row r="23" spans="2:32">
      <c r="B23" s="278" t="s">
        <v>516</v>
      </c>
      <c r="C23" s="279" t="s">
        <v>565</v>
      </c>
      <c r="E23" s="49" t="s">
        <v>263</v>
      </c>
      <c r="F23" s="48" t="s">
        <v>481</v>
      </c>
      <c r="H23" s="49" t="s">
        <v>237</v>
      </c>
      <c r="I23" s="48" t="s">
        <v>479</v>
      </c>
      <c r="K23" s="22" t="s">
        <v>124</v>
      </c>
      <c r="L23" t="s">
        <v>125</v>
      </c>
      <c r="M23" s="23" t="s">
        <v>45</v>
      </c>
      <c r="O23" s="577" t="s">
        <v>429</v>
      </c>
      <c r="P23" s="578" t="s">
        <v>326</v>
      </c>
      <c r="Q23" s="23"/>
      <c r="S23" s="585" t="s">
        <v>439</v>
      </c>
      <c r="T23" s="586" t="s">
        <v>327</v>
      </c>
      <c r="U23" s="23"/>
      <c r="W23" s="20" t="s">
        <v>452</v>
      </c>
      <c r="AE23" s="46">
        <v>41043</v>
      </c>
      <c r="AF23" s="34" t="s">
        <v>658</v>
      </c>
    </row>
    <row r="24" spans="2:32">
      <c r="B24" s="278" t="s">
        <v>517</v>
      </c>
      <c r="C24" s="279" t="s">
        <v>566</v>
      </c>
      <c r="E24" s="49" t="s">
        <v>77</v>
      </c>
      <c r="F24" s="48" t="s">
        <v>482</v>
      </c>
      <c r="H24" s="49" t="s">
        <v>231</v>
      </c>
      <c r="I24" s="48" t="s">
        <v>471</v>
      </c>
      <c r="K24" s="22" t="s">
        <v>130</v>
      </c>
      <c r="L24" t="s">
        <v>131</v>
      </c>
      <c r="M24" s="23" t="s">
        <v>45</v>
      </c>
      <c r="O24" s="577" t="s">
        <v>295</v>
      </c>
      <c r="P24" s="578" t="s">
        <v>326</v>
      </c>
      <c r="Q24" s="23"/>
      <c r="S24" s="585" t="s">
        <v>355</v>
      </c>
      <c r="T24" s="586" t="s">
        <v>327</v>
      </c>
      <c r="U24" s="23"/>
      <c r="W24" s="20" t="s">
        <v>453</v>
      </c>
      <c r="AE24" s="46">
        <v>41043</v>
      </c>
      <c r="AF24" s="34" t="s">
        <v>659</v>
      </c>
    </row>
    <row r="25" spans="2:32">
      <c r="B25" s="278" t="s">
        <v>518</v>
      </c>
      <c r="C25" s="279" t="s">
        <v>567</v>
      </c>
      <c r="E25" s="49" t="s">
        <v>81</v>
      </c>
      <c r="F25" s="48" t="s">
        <v>483</v>
      </c>
      <c r="H25" s="49" t="s">
        <v>224</v>
      </c>
      <c r="I25" s="48" t="s">
        <v>472</v>
      </c>
      <c r="K25" s="22" t="s">
        <v>128</v>
      </c>
      <c r="L25" t="s">
        <v>129</v>
      </c>
      <c r="M25" s="23" t="s">
        <v>67</v>
      </c>
      <c r="O25" s="577" t="s">
        <v>304</v>
      </c>
      <c r="P25" s="578" t="s">
        <v>326</v>
      </c>
      <c r="Q25" s="23"/>
      <c r="S25" s="585" t="s">
        <v>356</v>
      </c>
      <c r="T25" s="586" t="s">
        <v>327</v>
      </c>
      <c r="U25" s="23"/>
      <c r="W25" s="20" t="s">
        <v>454</v>
      </c>
      <c r="AE25" s="167">
        <v>41043</v>
      </c>
      <c r="AF25" s="168" t="s">
        <v>660</v>
      </c>
    </row>
    <row r="26" spans="2:32" ht="28.8">
      <c r="B26" s="278" t="s">
        <v>519</v>
      </c>
      <c r="C26" s="279" t="s">
        <v>568</v>
      </c>
      <c r="E26" s="49" t="s">
        <v>80</v>
      </c>
      <c r="F26" s="48" t="s">
        <v>484</v>
      </c>
      <c r="H26" s="49" t="s">
        <v>464</v>
      </c>
      <c r="I26" s="48" t="s">
        <v>473</v>
      </c>
      <c r="K26" s="22" t="s">
        <v>666</v>
      </c>
      <c r="L26" t="s">
        <v>648</v>
      </c>
      <c r="M26" s="23" t="s">
        <v>464</v>
      </c>
      <c r="O26" s="577" t="s">
        <v>293</v>
      </c>
      <c r="P26" s="579" t="s">
        <v>326</v>
      </c>
      <c r="Q26" s="23"/>
      <c r="S26" s="585" t="s">
        <v>357</v>
      </c>
      <c r="T26" s="586" t="s">
        <v>327</v>
      </c>
      <c r="U26" s="23"/>
      <c r="W26" s="20" t="s">
        <v>457</v>
      </c>
      <c r="AE26" s="859">
        <v>41072</v>
      </c>
      <c r="AF26" s="258" t="s">
        <v>667</v>
      </c>
    </row>
    <row r="27" spans="2:32" ht="28.8">
      <c r="B27" s="278" t="s">
        <v>520</v>
      </c>
      <c r="C27" s="279" t="s">
        <v>569</v>
      </c>
      <c r="E27" s="49" t="s">
        <v>253</v>
      </c>
      <c r="F27" s="48" t="s">
        <v>491</v>
      </c>
      <c r="H27" s="49" t="s">
        <v>240</v>
      </c>
      <c r="I27" s="48" t="s">
        <v>610</v>
      </c>
      <c r="K27" s="22" t="s">
        <v>140</v>
      </c>
      <c r="L27" t="s">
        <v>141</v>
      </c>
      <c r="M27" s="23" t="s">
        <v>77</v>
      </c>
      <c r="O27" s="580" t="s">
        <v>882</v>
      </c>
      <c r="P27" s="578" t="s">
        <v>326</v>
      </c>
      <c r="Q27" s="23"/>
      <c r="S27" s="585" t="s">
        <v>410</v>
      </c>
      <c r="T27" s="586" t="s">
        <v>327</v>
      </c>
      <c r="U27" s="23"/>
      <c r="W27" s="20" t="s">
        <v>458</v>
      </c>
      <c r="AE27" s="860"/>
      <c r="AF27" s="258" t="s">
        <v>668</v>
      </c>
    </row>
    <row r="28" spans="2:32" ht="28.8">
      <c r="B28" s="278" t="s">
        <v>521</v>
      </c>
      <c r="C28" s="279" t="s">
        <v>570</v>
      </c>
      <c r="E28" s="49" t="s">
        <v>255</v>
      </c>
      <c r="F28" s="48" t="s">
        <v>485</v>
      </c>
      <c r="H28" s="49" t="s">
        <v>238</v>
      </c>
      <c r="I28" s="48" t="s">
        <v>629</v>
      </c>
      <c r="K28" s="22" t="s">
        <v>186</v>
      </c>
      <c r="L28" t="s">
        <v>187</v>
      </c>
      <c r="M28" s="23" t="s">
        <v>263</v>
      </c>
      <c r="O28" s="577" t="s">
        <v>302</v>
      </c>
      <c r="P28" s="578" t="s">
        <v>326</v>
      </c>
      <c r="Q28" s="23"/>
      <c r="S28" s="585" t="s">
        <v>358</v>
      </c>
      <c r="T28" s="586" t="s">
        <v>327</v>
      </c>
      <c r="U28" s="23"/>
      <c r="W28" s="21" t="s">
        <v>459</v>
      </c>
      <c r="AE28" s="861"/>
      <c r="AF28" s="258" t="s">
        <v>669</v>
      </c>
    </row>
    <row r="29" spans="2:32" ht="28.8">
      <c r="B29" s="278" t="s">
        <v>522</v>
      </c>
      <c r="C29" s="279" t="s">
        <v>571</v>
      </c>
      <c r="E29" s="49" t="s">
        <v>70</v>
      </c>
      <c r="F29" s="48" t="s">
        <v>71</v>
      </c>
      <c r="H29" s="49" t="s">
        <v>263</v>
      </c>
      <c r="I29" s="48" t="s">
        <v>630</v>
      </c>
      <c r="K29" s="22" t="s">
        <v>142</v>
      </c>
      <c r="L29" t="s">
        <v>143</v>
      </c>
      <c r="M29" s="23" t="s">
        <v>267</v>
      </c>
      <c r="O29" s="577" t="s">
        <v>876</v>
      </c>
      <c r="P29" s="578" t="s">
        <v>326</v>
      </c>
      <c r="Q29" s="23"/>
      <c r="S29" s="585" t="s">
        <v>440</v>
      </c>
      <c r="T29" s="586" t="s">
        <v>327</v>
      </c>
      <c r="U29" s="23"/>
      <c r="AE29" s="859">
        <v>41096</v>
      </c>
      <c r="AF29" s="258" t="s">
        <v>683</v>
      </c>
    </row>
    <row r="30" spans="2:32">
      <c r="B30" s="278" t="s">
        <v>523</v>
      </c>
      <c r="C30" s="279" t="s">
        <v>572</v>
      </c>
      <c r="E30" s="49" t="s">
        <v>258</v>
      </c>
      <c r="F30" s="48" t="s">
        <v>474</v>
      </c>
      <c r="H30" s="49" t="s">
        <v>251</v>
      </c>
      <c r="I30" s="48" t="s">
        <v>611</v>
      </c>
      <c r="K30" s="22" t="s">
        <v>144</v>
      </c>
      <c r="L30" t="s">
        <v>145</v>
      </c>
      <c r="M30" s="23" t="s">
        <v>45</v>
      </c>
      <c r="O30" s="577" t="s">
        <v>305</v>
      </c>
      <c r="P30" s="578" t="s">
        <v>326</v>
      </c>
      <c r="Q30" s="23"/>
      <c r="S30" s="585" t="s">
        <v>441</v>
      </c>
      <c r="T30" s="586" t="s">
        <v>327</v>
      </c>
      <c r="U30" s="23"/>
      <c r="AE30" s="860"/>
      <c r="AF30" s="258" t="s">
        <v>672</v>
      </c>
    </row>
    <row r="31" spans="2:32" ht="15" customHeight="1">
      <c r="B31" s="278" t="s">
        <v>524</v>
      </c>
      <c r="C31" s="279" t="s">
        <v>573</v>
      </c>
      <c r="E31" s="49" t="s">
        <v>236</v>
      </c>
      <c r="F31" s="48" t="s">
        <v>486</v>
      </c>
      <c r="H31" s="49" t="s">
        <v>77</v>
      </c>
      <c r="I31" s="48" t="s">
        <v>631</v>
      </c>
      <c r="K31" s="22" t="s">
        <v>146</v>
      </c>
      <c r="L31" t="s">
        <v>147</v>
      </c>
      <c r="M31" s="23" t="s">
        <v>235</v>
      </c>
      <c r="O31" s="577" t="s">
        <v>306</v>
      </c>
      <c r="P31" s="578" t="s">
        <v>326</v>
      </c>
      <c r="Q31" s="34"/>
      <c r="S31" s="585" t="s">
        <v>442</v>
      </c>
      <c r="T31" s="586" t="s">
        <v>327</v>
      </c>
      <c r="U31" s="23"/>
      <c r="AE31" s="860"/>
      <c r="AF31" s="258" t="s">
        <v>673</v>
      </c>
    </row>
    <row r="32" spans="2:32" ht="28.8">
      <c r="B32" s="278" t="s">
        <v>525</v>
      </c>
      <c r="C32" s="279" t="s">
        <v>574</v>
      </c>
      <c r="E32" s="49" t="s">
        <v>239</v>
      </c>
      <c r="F32" s="48" t="s">
        <v>475</v>
      </c>
      <c r="H32" s="49" t="s">
        <v>267</v>
      </c>
      <c r="I32" s="48" t="s">
        <v>612</v>
      </c>
      <c r="K32" s="22" t="s">
        <v>138</v>
      </c>
      <c r="L32" t="s">
        <v>139</v>
      </c>
      <c r="M32" s="23" t="s">
        <v>251</v>
      </c>
      <c r="O32" s="577" t="s">
        <v>307</v>
      </c>
      <c r="P32" s="578" t="s">
        <v>326</v>
      </c>
      <c r="Q32" s="23"/>
      <c r="S32" s="585" t="s">
        <v>359</v>
      </c>
      <c r="T32" s="586" t="s">
        <v>327</v>
      </c>
      <c r="U32" s="23"/>
      <c r="AE32" s="860"/>
      <c r="AF32" s="258" t="s">
        <v>674</v>
      </c>
    </row>
    <row r="33" spans="2:32">
      <c r="B33" s="278" t="s">
        <v>526</v>
      </c>
      <c r="C33" s="279" t="s">
        <v>575</v>
      </c>
      <c r="E33" s="49" t="s">
        <v>85</v>
      </c>
      <c r="F33" s="48" t="s">
        <v>487</v>
      </c>
      <c r="H33" s="49" t="s">
        <v>235</v>
      </c>
      <c r="I33" s="48" t="s">
        <v>613</v>
      </c>
      <c r="K33" s="22" t="s">
        <v>136</v>
      </c>
      <c r="L33" t="s">
        <v>137</v>
      </c>
      <c r="M33" s="23" t="s">
        <v>45</v>
      </c>
      <c r="O33" s="580" t="s">
        <v>881</v>
      </c>
      <c r="P33" s="578" t="s">
        <v>326</v>
      </c>
      <c r="Q33" s="23"/>
      <c r="S33" s="585" t="s">
        <v>360</v>
      </c>
      <c r="T33" s="586" t="s">
        <v>327</v>
      </c>
      <c r="U33" s="23"/>
      <c r="AE33" s="860"/>
      <c r="AF33" s="258" t="s">
        <v>675</v>
      </c>
    </row>
    <row r="34" spans="2:32" ht="28.8">
      <c r="B34" s="278" t="s">
        <v>527</v>
      </c>
      <c r="C34" s="279" t="s">
        <v>576</v>
      </c>
      <c r="E34" s="49" t="s">
        <v>247</v>
      </c>
      <c r="F34" s="48" t="s">
        <v>476</v>
      </c>
      <c r="H34" s="49" t="s">
        <v>81</v>
      </c>
      <c r="I34" s="48" t="s">
        <v>632</v>
      </c>
      <c r="K34" s="22" t="s">
        <v>148</v>
      </c>
      <c r="L34" t="s">
        <v>149</v>
      </c>
      <c r="M34" s="23" t="s">
        <v>81</v>
      </c>
      <c r="O34" s="577" t="s">
        <v>430</v>
      </c>
      <c r="P34" s="578" t="s">
        <v>326</v>
      </c>
      <c r="Q34" s="23"/>
      <c r="S34" s="585" t="s">
        <v>443</v>
      </c>
      <c r="T34" s="586" t="s">
        <v>327</v>
      </c>
      <c r="U34" s="23"/>
      <c r="AE34" s="860"/>
      <c r="AF34" s="258" t="s">
        <v>676</v>
      </c>
    </row>
    <row r="35" spans="2:32" ht="28.8">
      <c r="B35" s="278" t="s">
        <v>528</v>
      </c>
      <c r="C35" s="279" t="s">
        <v>577</v>
      </c>
      <c r="E35" s="49" t="s">
        <v>72</v>
      </c>
      <c r="F35" s="48" t="s">
        <v>73</v>
      </c>
      <c r="H35" s="49" t="s">
        <v>262</v>
      </c>
      <c r="I35" s="48" t="s">
        <v>614</v>
      </c>
      <c r="K35" s="22" t="s">
        <v>261</v>
      </c>
      <c r="L35" t="s">
        <v>278</v>
      </c>
      <c r="M35" s="23" t="s">
        <v>262</v>
      </c>
      <c r="O35" s="577" t="s">
        <v>308</v>
      </c>
      <c r="P35" s="578" t="s">
        <v>326</v>
      </c>
      <c r="Q35" s="23"/>
      <c r="S35" s="585" t="s">
        <v>844</v>
      </c>
      <c r="T35" s="586" t="s">
        <v>327</v>
      </c>
      <c r="U35" s="23"/>
      <c r="AE35" s="860"/>
      <c r="AF35" s="258" t="s">
        <v>677</v>
      </c>
    </row>
    <row r="36" spans="2:32">
      <c r="B36" s="278" t="s">
        <v>529</v>
      </c>
      <c r="C36" s="279" t="s">
        <v>578</v>
      </c>
      <c r="E36" s="49" t="s">
        <v>257</v>
      </c>
      <c r="F36" s="48" t="s">
        <v>488</v>
      </c>
      <c r="H36" s="49" t="s">
        <v>80</v>
      </c>
      <c r="I36" s="48" t="s">
        <v>633</v>
      </c>
      <c r="K36" s="22" t="s">
        <v>104</v>
      </c>
      <c r="L36" t="s">
        <v>105</v>
      </c>
      <c r="M36" s="23" t="s">
        <v>62</v>
      </c>
      <c r="O36" s="577" t="s">
        <v>431</v>
      </c>
      <c r="P36" s="578" t="s">
        <v>326</v>
      </c>
      <c r="Q36" s="23"/>
      <c r="S36" s="585" t="s">
        <v>444</v>
      </c>
      <c r="T36" s="586" t="s">
        <v>327</v>
      </c>
      <c r="U36" s="23"/>
      <c r="AE36" s="860"/>
      <c r="AF36" s="258" t="s">
        <v>679</v>
      </c>
    </row>
    <row r="37" spans="2:32" ht="28.8">
      <c r="B37" s="278" t="s">
        <v>530</v>
      </c>
      <c r="C37" s="279" t="s">
        <v>579</v>
      </c>
      <c r="E37" s="49" t="s">
        <v>259</v>
      </c>
      <c r="F37" s="48" t="s">
        <v>489</v>
      </c>
      <c r="H37" s="49" t="s">
        <v>243</v>
      </c>
      <c r="I37" s="48" t="s">
        <v>615</v>
      </c>
      <c r="K37" s="22" t="s">
        <v>134</v>
      </c>
      <c r="L37" t="s">
        <v>135</v>
      </c>
      <c r="M37" s="23" t="s">
        <v>240</v>
      </c>
      <c r="O37" s="577" t="s">
        <v>432</v>
      </c>
      <c r="P37" s="578" t="s">
        <v>326</v>
      </c>
      <c r="Q37" s="23"/>
      <c r="S37" s="585" t="s">
        <v>445</v>
      </c>
      <c r="T37" s="586" t="s">
        <v>327</v>
      </c>
      <c r="U37" s="23"/>
      <c r="AE37" s="860"/>
      <c r="AF37" s="258" t="s">
        <v>680</v>
      </c>
    </row>
    <row r="38" spans="2:32" ht="28.8">
      <c r="B38" s="278" t="s">
        <v>531</v>
      </c>
      <c r="C38" s="279" t="s">
        <v>579</v>
      </c>
      <c r="E38" s="49" t="s">
        <v>76</v>
      </c>
      <c r="F38" s="48" t="s">
        <v>495</v>
      </c>
      <c r="H38" s="49" t="s">
        <v>242</v>
      </c>
      <c r="I38" s="48" t="s">
        <v>616</v>
      </c>
      <c r="K38" s="22" t="s">
        <v>154</v>
      </c>
      <c r="L38" t="s">
        <v>155</v>
      </c>
      <c r="M38" s="23" t="s">
        <v>242</v>
      </c>
      <c r="O38" s="577" t="s">
        <v>297</v>
      </c>
      <c r="P38" s="578" t="s">
        <v>326</v>
      </c>
      <c r="Q38" s="23"/>
      <c r="S38" s="585" t="s">
        <v>446</v>
      </c>
      <c r="T38" s="586" t="s">
        <v>327</v>
      </c>
      <c r="U38" s="23"/>
      <c r="AE38" s="860"/>
      <c r="AF38" s="258" t="s">
        <v>681</v>
      </c>
    </row>
    <row r="39" spans="2:32" ht="28.8">
      <c r="B39" s="278" t="s">
        <v>532</v>
      </c>
      <c r="C39" s="279" t="s">
        <v>580</v>
      </c>
      <c r="E39" s="49" t="s">
        <v>264</v>
      </c>
      <c r="F39" s="48" t="s">
        <v>477</v>
      </c>
      <c r="H39" s="49" t="s">
        <v>252</v>
      </c>
      <c r="I39" s="48" t="s">
        <v>617</v>
      </c>
      <c r="K39" s="22" t="s">
        <v>244</v>
      </c>
      <c r="L39" t="s">
        <v>275</v>
      </c>
      <c r="M39" s="23" t="s">
        <v>74</v>
      </c>
      <c r="O39" s="577" t="s">
        <v>364</v>
      </c>
      <c r="P39" s="578" t="s">
        <v>326</v>
      </c>
      <c r="Q39" s="23"/>
      <c r="S39" s="585" t="s">
        <v>447</v>
      </c>
      <c r="T39" s="586" t="s">
        <v>327</v>
      </c>
      <c r="U39" s="23"/>
      <c r="AE39" s="861"/>
      <c r="AF39" s="258" t="s">
        <v>682</v>
      </c>
    </row>
    <row r="40" spans="2:32">
      <c r="B40" s="278" t="s">
        <v>533</v>
      </c>
      <c r="C40" s="279" t="s">
        <v>581</v>
      </c>
      <c r="E40" s="43" t="s">
        <v>69</v>
      </c>
      <c r="F40" s="50" t="s">
        <v>492</v>
      </c>
      <c r="H40" s="49" t="s">
        <v>269</v>
      </c>
      <c r="I40" s="48" t="s">
        <v>618</v>
      </c>
      <c r="K40" s="22" t="s">
        <v>152</v>
      </c>
      <c r="L40" t="s">
        <v>153</v>
      </c>
      <c r="M40" s="23" t="s">
        <v>243</v>
      </c>
      <c r="O40" s="577" t="s">
        <v>298</v>
      </c>
      <c r="P40" s="578" t="s">
        <v>326</v>
      </c>
      <c r="Q40" s="23"/>
      <c r="S40" s="585" t="s">
        <v>361</v>
      </c>
      <c r="T40" s="586" t="s">
        <v>327</v>
      </c>
      <c r="U40" s="23"/>
      <c r="AE40" s="52"/>
      <c r="AF40" s="258"/>
    </row>
    <row r="41" spans="2:32" ht="15" thickBot="1">
      <c r="B41" s="278" t="s">
        <v>534</v>
      </c>
      <c r="C41" s="279" t="s">
        <v>582</v>
      </c>
      <c r="H41" s="49" t="s">
        <v>268</v>
      </c>
      <c r="I41" s="48" t="s">
        <v>619</v>
      </c>
      <c r="K41" s="22" t="s">
        <v>150</v>
      </c>
      <c r="L41" t="s">
        <v>151</v>
      </c>
      <c r="M41" s="23" t="s">
        <v>45</v>
      </c>
      <c r="O41" s="577" t="s">
        <v>296</v>
      </c>
      <c r="P41" s="578" t="s">
        <v>326</v>
      </c>
      <c r="Q41" s="23"/>
      <c r="S41" s="589" t="s">
        <v>362</v>
      </c>
      <c r="T41" s="590" t="s">
        <v>327</v>
      </c>
      <c r="U41" s="18"/>
      <c r="AE41" s="52"/>
      <c r="AF41" s="258"/>
    </row>
    <row r="42" spans="2:32">
      <c r="B42" s="278" t="s">
        <v>535</v>
      </c>
      <c r="C42" s="279" t="s">
        <v>583</v>
      </c>
      <c r="H42" s="49" t="s">
        <v>253</v>
      </c>
      <c r="I42" s="48" t="s">
        <v>491</v>
      </c>
      <c r="K42" s="22" t="s">
        <v>160</v>
      </c>
      <c r="L42" t="s">
        <v>161</v>
      </c>
      <c r="M42" s="23" t="s">
        <v>255</v>
      </c>
      <c r="O42" s="577" t="s">
        <v>299</v>
      </c>
      <c r="P42" s="578" t="s">
        <v>326</v>
      </c>
      <c r="Q42" s="23"/>
    </row>
    <row r="43" spans="2:32">
      <c r="B43" s="278" t="s">
        <v>536</v>
      </c>
      <c r="C43" s="279" t="s">
        <v>584</v>
      </c>
      <c r="H43" s="49" t="s">
        <v>255</v>
      </c>
      <c r="I43" s="48" t="s">
        <v>634</v>
      </c>
      <c r="K43" s="22" t="s">
        <v>156</v>
      </c>
      <c r="L43" t="s">
        <v>157</v>
      </c>
      <c r="M43" s="23" t="s">
        <v>45</v>
      </c>
      <c r="O43" s="577" t="s">
        <v>365</v>
      </c>
      <c r="P43" s="578" t="s">
        <v>326</v>
      </c>
      <c r="Q43" s="23"/>
    </row>
    <row r="44" spans="2:32">
      <c r="B44" s="278" t="s">
        <v>537</v>
      </c>
      <c r="C44" s="279" t="s">
        <v>585</v>
      </c>
      <c r="H44" s="49" t="s">
        <v>70</v>
      </c>
      <c r="I44" s="48" t="s">
        <v>71</v>
      </c>
      <c r="K44" s="22" t="s">
        <v>158</v>
      </c>
      <c r="L44" t="s">
        <v>159</v>
      </c>
      <c r="M44" s="23" t="s">
        <v>252</v>
      </c>
      <c r="O44" s="577" t="s">
        <v>877</v>
      </c>
      <c r="P44" s="578" t="s">
        <v>326</v>
      </c>
      <c r="Q44" s="23"/>
    </row>
    <row r="45" spans="2:32">
      <c r="B45" s="278" t="s">
        <v>538</v>
      </c>
      <c r="C45" s="279" t="s">
        <v>586</v>
      </c>
      <c r="H45" s="49" t="s">
        <v>82</v>
      </c>
      <c r="I45" s="48" t="s">
        <v>620</v>
      </c>
      <c r="K45" s="22" t="s">
        <v>166</v>
      </c>
      <c r="L45" t="s">
        <v>167</v>
      </c>
      <c r="M45" s="23" t="s">
        <v>268</v>
      </c>
      <c r="O45" s="577" t="s">
        <v>433</v>
      </c>
      <c r="P45" s="578" t="s">
        <v>326</v>
      </c>
      <c r="Q45" s="23"/>
    </row>
    <row r="46" spans="2:32">
      <c r="B46" s="278" t="s">
        <v>539</v>
      </c>
      <c r="C46" s="279" t="s">
        <v>587</v>
      </c>
      <c r="H46" s="49" t="s">
        <v>258</v>
      </c>
      <c r="I46" s="48" t="s">
        <v>474</v>
      </c>
      <c r="K46" s="22" t="s">
        <v>164</v>
      </c>
      <c r="L46" t="s">
        <v>165</v>
      </c>
      <c r="M46" s="23" t="s">
        <v>253</v>
      </c>
      <c r="O46" s="577" t="s">
        <v>309</v>
      </c>
      <c r="P46" s="578" t="s">
        <v>326</v>
      </c>
      <c r="Q46" s="23"/>
    </row>
    <row r="47" spans="2:32">
      <c r="B47" s="278" t="s">
        <v>540</v>
      </c>
      <c r="C47" s="279" t="s">
        <v>588</v>
      </c>
      <c r="H47" s="49" t="s">
        <v>270</v>
      </c>
      <c r="I47" s="48" t="s">
        <v>621</v>
      </c>
      <c r="K47" s="22" t="s">
        <v>162</v>
      </c>
      <c r="L47" t="s">
        <v>163</v>
      </c>
      <c r="M47" s="23" t="s">
        <v>269</v>
      </c>
      <c r="O47" s="577" t="s">
        <v>408</v>
      </c>
      <c r="P47" s="578" t="s">
        <v>326</v>
      </c>
      <c r="Q47" s="40"/>
    </row>
    <row r="48" spans="2:32" ht="15" thickBot="1">
      <c r="B48" s="278" t="s">
        <v>541</v>
      </c>
      <c r="C48" s="279" t="s">
        <v>589</v>
      </c>
      <c r="H48" s="49" t="s">
        <v>236</v>
      </c>
      <c r="I48" s="48" t="s">
        <v>635</v>
      </c>
      <c r="K48" s="22" t="s">
        <v>233</v>
      </c>
      <c r="L48" t="s">
        <v>276</v>
      </c>
      <c r="M48" s="23" t="s">
        <v>45</v>
      </c>
      <c r="O48" s="581" t="s">
        <v>301</v>
      </c>
      <c r="P48" s="582" t="s">
        <v>326</v>
      </c>
    </row>
    <row r="49" spans="2:15">
      <c r="B49" s="278" t="s">
        <v>542</v>
      </c>
      <c r="C49" s="279" t="s">
        <v>590</v>
      </c>
      <c r="H49" s="49" t="s">
        <v>239</v>
      </c>
      <c r="I49" s="48" t="s">
        <v>636</v>
      </c>
      <c r="K49" s="22" t="s">
        <v>168</v>
      </c>
      <c r="L49" t="s">
        <v>169</v>
      </c>
      <c r="M49" s="23" t="s">
        <v>45</v>
      </c>
      <c r="O49" s="574"/>
    </row>
    <row r="50" spans="2:15">
      <c r="B50" s="278" t="s">
        <v>543</v>
      </c>
      <c r="C50" s="279" t="s">
        <v>591</v>
      </c>
      <c r="H50" s="49" t="s">
        <v>241</v>
      </c>
      <c r="I50" s="48" t="s">
        <v>622</v>
      </c>
      <c r="K50" s="22" t="s">
        <v>174</v>
      </c>
      <c r="L50" t="s">
        <v>175</v>
      </c>
      <c r="M50" s="23" t="s">
        <v>82</v>
      </c>
    </row>
    <row r="51" spans="2:15">
      <c r="B51" s="278" t="s">
        <v>544</v>
      </c>
      <c r="C51" s="279" t="s">
        <v>592</v>
      </c>
      <c r="H51" s="49" t="s">
        <v>85</v>
      </c>
      <c r="I51" s="48" t="s">
        <v>637</v>
      </c>
      <c r="K51" s="22" t="s">
        <v>172</v>
      </c>
      <c r="L51" t="s">
        <v>173</v>
      </c>
      <c r="M51" s="23" t="s">
        <v>45</v>
      </c>
    </row>
    <row r="52" spans="2:15">
      <c r="B52" s="278" t="s">
        <v>545</v>
      </c>
      <c r="C52" s="279" t="s">
        <v>593</v>
      </c>
      <c r="H52" s="49" t="s">
        <v>247</v>
      </c>
      <c r="I52" s="48" t="s">
        <v>638</v>
      </c>
      <c r="K52" s="22" t="s">
        <v>170</v>
      </c>
      <c r="L52" t="s">
        <v>171</v>
      </c>
      <c r="M52" s="23" t="s">
        <v>234</v>
      </c>
    </row>
    <row r="53" spans="2:15">
      <c r="B53" s="278" t="s">
        <v>546</v>
      </c>
      <c r="C53" s="279" t="s">
        <v>594</v>
      </c>
      <c r="H53" s="49" t="s">
        <v>72</v>
      </c>
      <c r="I53" s="48" t="s">
        <v>73</v>
      </c>
      <c r="K53" s="22" t="s">
        <v>663</v>
      </c>
      <c r="L53" t="s">
        <v>664</v>
      </c>
      <c r="M53" s="23" t="s">
        <v>665</v>
      </c>
    </row>
    <row r="54" spans="2:15">
      <c r="B54" s="278" t="s">
        <v>547</v>
      </c>
      <c r="C54" s="279" t="s">
        <v>595</v>
      </c>
      <c r="H54" s="49" t="s">
        <v>257</v>
      </c>
      <c r="I54" s="48" t="s">
        <v>488</v>
      </c>
      <c r="K54" s="22" t="s">
        <v>86</v>
      </c>
      <c r="L54" t="s">
        <v>87</v>
      </c>
      <c r="M54" s="23" t="s">
        <v>45</v>
      </c>
    </row>
    <row r="55" spans="2:15">
      <c r="B55" s="278" t="s">
        <v>548</v>
      </c>
      <c r="C55" s="279" t="s">
        <v>596</v>
      </c>
      <c r="H55" s="49" t="s">
        <v>259</v>
      </c>
      <c r="I55" s="48" t="s">
        <v>639</v>
      </c>
      <c r="K55" s="22" t="s">
        <v>178</v>
      </c>
      <c r="L55" t="s">
        <v>179</v>
      </c>
      <c r="M55" s="23" t="s">
        <v>270</v>
      </c>
    </row>
    <row r="56" spans="2:15">
      <c r="B56" s="278" t="s">
        <v>670</v>
      </c>
      <c r="C56" s="279" t="s">
        <v>671</v>
      </c>
      <c r="H56" s="49" t="s">
        <v>254</v>
      </c>
      <c r="I56" s="48" t="s">
        <v>623</v>
      </c>
      <c r="K56" s="22" t="s">
        <v>194</v>
      </c>
      <c r="L56" t="s">
        <v>195</v>
      </c>
      <c r="M56" s="23" t="s">
        <v>258</v>
      </c>
    </row>
    <row r="57" spans="2:15">
      <c r="B57" s="280" t="s">
        <v>549</v>
      </c>
      <c r="C57" s="281" t="s">
        <v>597</v>
      </c>
      <c r="H57" s="49" t="s">
        <v>76</v>
      </c>
      <c r="I57" s="48" t="s">
        <v>495</v>
      </c>
      <c r="K57" s="22" t="s">
        <v>180</v>
      </c>
      <c r="L57" t="s">
        <v>181</v>
      </c>
      <c r="M57" s="23" t="s">
        <v>236</v>
      </c>
    </row>
    <row r="58" spans="2:15">
      <c r="H58" s="49" t="s">
        <v>264</v>
      </c>
      <c r="I58" s="48" t="s">
        <v>477</v>
      </c>
      <c r="K58" s="22" t="s">
        <v>176</v>
      </c>
      <c r="L58" t="s">
        <v>177</v>
      </c>
      <c r="M58" s="23" t="s">
        <v>45</v>
      </c>
    </row>
    <row r="59" spans="2:15">
      <c r="H59" s="49" t="s">
        <v>245</v>
      </c>
      <c r="I59" s="48" t="s">
        <v>624</v>
      </c>
      <c r="K59" s="22" t="s">
        <v>188</v>
      </c>
      <c r="L59" t="s">
        <v>189</v>
      </c>
      <c r="M59" s="23" t="s">
        <v>239</v>
      </c>
    </row>
    <row r="60" spans="2:15">
      <c r="H60" s="49" t="s">
        <v>271</v>
      </c>
      <c r="I60" s="48" t="s">
        <v>625</v>
      </c>
      <c r="K60" s="22" t="s">
        <v>196</v>
      </c>
      <c r="L60" t="s">
        <v>197</v>
      </c>
      <c r="M60" s="23" t="s">
        <v>85</v>
      </c>
    </row>
    <row r="61" spans="2:15">
      <c r="H61" s="49" t="s">
        <v>248</v>
      </c>
      <c r="I61" s="48" t="s">
        <v>626</v>
      </c>
      <c r="K61" s="22" t="s">
        <v>246</v>
      </c>
      <c r="L61" t="s">
        <v>274</v>
      </c>
      <c r="M61" s="23" t="s">
        <v>247</v>
      </c>
    </row>
    <row r="62" spans="2:15">
      <c r="H62" s="49" t="s">
        <v>260</v>
      </c>
      <c r="I62" s="48" t="s">
        <v>627</v>
      </c>
      <c r="K62" s="22" t="s">
        <v>198</v>
      </c>
      <c r="L62" t="s">
        <v>199</v>
      </c>
      <c r="M62" s="23" t="s">
        <v>72</v>
      </c>
    </row>
    <row r="63" spans="2:15">
      <c r="H63" s="43" t="s">
        <v>69</v>
      </c>
      <c r="I63" s="50" t="s">
        <v>640</v>
      </c>
      <c r="K63" s="22" t="s">
        <v>106</v>
      </c>
      <c r="L63" t="s">
        <v>107</v>
      </c>
      <c r="M63" s="23" t="s">
        <v>74</v>
      </c>
    </row>
    <row r="64" spans="2:15">
      <c r="K64" s="22" t="s">
        <v>204</v>
      </c>
      <c r="L64" t="s">
        <v>205</v>
      </c>
      <c r="M64" s="23" t="s">
        <v>241</v>
      </c>
    </row>
    <row r="65" spans="11:13">
      <c r="K65" s="22" t="s">
        <v>256</v>
      </c>
      <c r="L65" t="s">
        <v>277</v>
      </c>
      <c r="M65" s="23" t="s">
        <v>257</v>
      </c>
    </row>
    <row r="66" spans="11:13">
      <c r="K66" s="22" t="s">
        <v>200</v>
      </c>
      <c r="L66" t="s">
        <v>201</v>
      </c>
      <c r="M66" s="23" t="s">
        <v>45</v>
      </c>
    </row>
    <row r="67" spans="11:13">
      <c r="K67" s="22" t="s">
        <v>202</v>
      </c>
      <c r="L67" t="s">
        <v>203</v>
      </c>
      <c r="M67" s="23" t="s">
        <v>45</v>
      </c>
    </row>
    <row r="68" spans="11:13">
      <c r="K68" s="22" t="s">
        <v>118</v>
      </c>
      <c r="L68" t="s">
        <v>119</v>
      </c>
      <c r="M68" s="23" t="s">
        <v>45</v>
      </c>
    </row>
    <row r="69" spans="11:13">
      <c r="K69" s="22" t="s">
        <v>217</v>
      </c>
      <c r="L69" t="s">
        <v>218</v>
      </c>
      <c r="M69" s="23" t="s">
        <v>69</v>
      </c>
    </row>
    <row r="70" spans="11:13">
      <c r="K70" s="22" t="s">
        <v>190</v>
      </c>
      <c r="L70" t="s">
        <v>191</v>
      </c>
      <c r="M70" s="23" t="s">
        <v>80</v>
      </c>
    </row>
    <row r="71" spans="11:13">
      <c r="K71" s="22" t="s">
        <v>184</v>
      </c>
      <c r="L71" t="s">
        <v>185</v>
      </c>
      <c r="M71" s="23" t="s">
        <v>264</v>
      </c>
    </row>
    <row r="72" spans="11:13">
      <c r="K72" s="22" t="s">
        <v>206</v>
      </c>
      <c r="L72" t="s">
        <v>207</v>
      </c>
      <c r="M72" s="23" t="s">
        <v>259</v>
      </c>
    </row>
    <row r="73" spans="11:13">
      <c r="K73" s="22" t="s">
        <v>112</v>
      </c>
      <c r="L73" t="s">
        <v>113</v>
      </c>
      <c r="M73" s="23" t="s">
        <v>237</v>
      </c>
    </row>
    <row r="74" spans="11:13">
      <c r="K74" s="22" t="s">
        <v>208</v>
      </c>
      <c r="L74" t="s">
        <v>209</v>
      </c>
      <c r="M74" s="23" t="s">
        <v>254</v>
      </c>
    </row>
    <row r="75" spans="11:13">
      <c r="K75" s="22" t="s">
        <v>210</v>
      </c>
      <c r="L75" t="s">
        <v>211</v>
      </c>
      <c r="M75" s="23" t="s">
        <v>76</v>
      </c>
    </row>
    <row r="76" spans="11:13">
      <c r="K76" s="22" t="s">
        <v>212</v>
      </c>
      <c r="L76" t="s">
        <v>213</v>
      </c>
      <c r="M76" s="23" t="s">
        <v>245</v>
      </c>
    </row>
    <row r="77" spans="11:13">
      <c r="K77" s="22" t="s">
        <v>132</v>
      </c>
      <c r="L77" t="s">
        <v>133</v>
      </c>
      <c r="M77" s="23" t="s">
        <v>238</v>
      </c>
    </row>
    <row r="78" spans="11:13">
      <c r="K78" s="22" t="s">
        <v>192</v>
      </c>
      <c r="L78" t="s">
        <v>193</v>
      </c>
      <c r="M78" s="23" t="s">
        <v>271</v>
      </c>
    </row>
    <row r="79" spans="11:13">
      <c r="K79" s="22" t="s">
        <v>214</v>
      </c>
      <c r="L79" t="s">
        <v>63</v>
      </c>
      <c r="M79" s="23" t="s">
        <v>65</v>
      </c>
    </row>
    <row r="80" spans="11:13">
      <c r="K80" s="22" t="s">
        <v>265</v>
      </c>
      <c r="L80" t="s">
        <v>266</v>
      </c>
      <c r="M80" s="23" t="s">
        <v>45</v>
      </c>
    </row>
    <row r="81" spans="11:13">
      <c r="K81" s="22" t="s">
        <v>232</v>
      </c>
      <c r="L81" t="s">
        <v>273</v>
      </c>
      <c r="M81" s="23" t="s">
        <v>248</v>
      </c>
    </row>
    <row r="82" spans="11:13">
      <c r="K82" s="22" t="s">
        <v>215</v>
      </c>
      <c r="L82" t="s">
        <v>216</v>
      </c>
      <c r="M82" s="23" t="s">
        <v>260</v>
      </c>
    </row>
    <row r="83" spans="11:13">
      <c r="K83" s="22" t="s">
        <v>102</v>
      </c>
      <c r="L83" t="s">
        <v>103</v>
      </c>
      <c r="M83" s="23" t="s">
        <v>272</v>
      </c>
    </row>
    <row r="84" spans="11:13">
      <c r="K84" s="22" t="s">
        <v>220</v>
      </c>
      <c r="L84" t="s">
        <v>219</v>
      </c>
      <c r="M84" s="23"/>
    </row>
    <row r="85" spans="11:13">
      <c r="K85" s="22" t="s">
        <v>220</v>
      </c>
      <c r="L85" t="s">
        <v>221</v>
      </c>
      <c r="M85" s="23"/>
    </row>
    <row r="86" spans="11:13">
      <c r="K86" s="22" t="s">
        <v>220</v>
      </c>
      <c r="L86" t="s">
        <v>222</v>
      </c>
      <c r="M86" s="23"/>
    </row>
    <row r="87" spans="11:13">
      <c r="K87" s="16" t="s">
        <v>110</v>
      </c>
      <c r="L87" s="17" t="s">
        <v>111</v>
      </c>
      <c r="M87" s="18" t="s">
        <v>45</v>
      </c>
    </row>
  </sheetData>
  <dataConsolidate/>
  <mergeCells count="3">
    <mergeCell ref="H6:I6"/>
    <mergeCell ref="AE26:AE28"/>
    <mergeCell ref="AE29:AE39"/>
  </mergeCells>
  <pageMargins left="0.39370078740157483" right="0.39370078740157483" top="0.39370078740157483" bottom="0.39370078740157483" header="0.31496062992125984" footer="0.31496062992125984"/>
  <pageSetup paperSize="9" scale="7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2"/>
  <dimension ref="A1:I102"/>
  <sheetViews>
    <sheetView topLeftCell="E4" zoomScale="80" zoomScaleNormal="80" workbookViewId="0">
      <selection activeCell="I42" sqref="I42"/>
    </sheetView>
  </sheetViews>
  <sheetFormatPr baseColWidth="10" defaultColWidth="11.44140625" defaultRowHeight="14.4"/>
  <cols>
    <col min="1" max="1" width="43.6640625" style="528" customWidth="1"/>
    <col min="2" max="2" width="41.6640625" style="528" customWidth="1"/>
    <col min="3" max="3" width="11.44140625" style="528"/>
    <col min="4" max="4" width="77.5546875" style="534" customWidth="1"/>
    <col min="5" max="5" width="11.44140625" style="535"/>
    <col min="6" max="6" width="11.44140625" style="528"/>
    <col min="7" max="7" width="42.44140625" style="528" customWidth="1"/>
    <col min="8" max="8" width="11.44140625" style="528"/>
    <col min="9" max="9" width="18" style="535" customWidth="1"/>
    <col min="10" max="16384" width="11.44140625" style="528"/>
  </cols>
  <sheetData>
    <row r="1" spans="1:9" ht="18">
      <c r="A1" s="526"/>
      <c r="B1" s="526"/>
      <c r="C1" s="526"/>
      <c r="D1" s="527"/>
      <c r="E1" s="526"/>
      <c r="F1" s="526"/>
      <c r="G1" s="526"/>
    </row>
    <row r="2" spans="1:9" ht="25.8">
      <c r="A2" s="862" t="s">
        <v>732</v>
      </c>
      <c r="B2" s="862"/>
      <c r="C2" s="862"/>
      <c r="D2" s="862"/>
      <c r="E2" s="862"/>
      <c r="G2" s="862" t="s">
        <v>733</v>
      </c>
      <c r="H2" s="862"/>
      <c r="I2" s="862"/>
    </row>
    <row r="3" spans="1:9" ht="43.2">
      <c r="A3" s="529" t="s">
        <v>779</v>
      </c>
      <c r="B3" s="529" t="s">
        <v>727</v>
      </c>
      <c r="C3" s="529" t="s">
        <v>728</v>
      </c>
      <c r="D3" s="530" t="s">
        <v>729</v>
      </c>
      <c r="E3" s="530" t="s">
        <v>730</v>
      </c>
      <c r="F3" s="531"/>
      <c r="G3" s="529" t="s">
        <v>727</v>
      </c>
      <c r="H3" s="567"/>
      <c r="I3" s="568" t="s">
        <v>880</v>
      </c>
    </row>
    <row r="4" spans="1:9">
      <c r="A4" s="592" t="s">
        <v>785</v>
      </c>
      <c r="B4" s="593" t="s">
        <v>690</v>
      </c>
      <c r="C4" s="594" t="s">
        <v>501</v>
      </c>
      <c r="D4" s="599" t="s">
        <v>829</v>
      </c>
      <c r="E4" s="525"/>
      <c r="F4" s="531"/>
      <c r="G4" s="593" t="s">
        <v>690</v>
      </c>
      <c r="H4" s="567">
        <v>1</v>
      </c>
      <c r="I4" s="569"/>
    </row>
    <row r="5" spans="1:9" ht="28.2">
      <c r="A5" s="592" t="s">
        <v>684</v>
      </c>
      <c r="B5" s="593" t="s">
        <v>931</v>
      </c>
      <c r="C5" s="594" t="s">
        <v>710</v>
      </c>
      <c r="D5" s="599" t="s">
        <v>926</v>
      </c>
      <c r="E5" s="525"/>
      <c r="F5" s="531"/>
      <c r="G5" s="593" t="s">
        <v>931</v>
      </c>
      <c r="H5" s="567">
        <v>1</v>
      </c>
      <c r="I5" s="569"/>
    </row>
    <row r="6" spans="1:9" ht="28.2">
      <c r="A6" s="592" t="s">
        <v>932</v>
      </c>
      <c r="B6" s="593" t="s">
        <v>932</v>
      </c>
      <c r="C6" s="594" t="s">
        <v>933</v>
      </c>
      <c r="D6" s="599" t="s">
        <v>934</v>
      </c>
      <c r="E6" s="525"/>
      <c r="F6" s="531"/>
      <c r="G6" s="593" t="s">
        <v>932</v>
      </c>
      <c r="H6" s="567"/>
      <c r="I6" s="569"/>
    </row>
    <row r="7" spans="1:9" ht="28.2">
      <c r="A7" s="592" t="s">
        <v>787</v>
      </c>
      <c r="B7" s="593" t="s">
        <v>691</v>
      </c>
      <c r="C7" s="594" t="s">
        <v>503</v>
      </c>
      <c r="D7" s="599" t="s">
        <v>830</v>
      </c>
      <c r="E7" s="525" t="s">
        <v>831</v>
      </c>
      <c r="F7" s="531"/>
      <c r="G7" s="593" t="s">
        <v>907</v>
      </c>
      <c r="H7" s="567">
        <v>1</v>
      </c>
      <c r="I7" s="569"/>
    </row>
    <row r="8" spans="1:9" ht="28.2">
      <c r="A8" s="592" t="s">
        <v>786</v>
      </c>
      <c r="B8" s="593" t="s">
        <v>767</v>
      </c>
      <c r="C8" s="594" t="s">
        <v>502</v>
      </c>
      <c r="D8" s="599" t="s">
        <v>830</v>
      </c>
      <c r="E8" s="525" t="s">
        <v>831</v>
      </c>
      <c r="F8" s="531"/>
      <c r="G8" s="593" t="s">
        <v>904</v>
      </c>
      <c r="H8" s="567">
        <v>1</v>
      </c>
      <c r="I8" s="569"/>
    </row>
    <row r="9" spans="1:9">
      <c r="A9" s="592" t="s">
        <v>906</v>
      </c>
      <c r="B9" s="593" t="s">
        <v>907</v>
      </c>
      <c r="C9" s="594" t="s">
        <v>908</v>
      </c>
      <c r="D9" s="591" t="s">
        <v>930</v>
      </c>
      <c r="E9" s="600"/>
      <c r="F9" s="531"/>
      <c r="G9" s="598" t="s">
        <v>899</v>
      </c>
      <c r="H9" s="567">
        <v>1</v>
      </c>
      <c r="I9" s="569"/>
    </row>
    <row r="10" spans="1:9">
      <c r="A10" s="592" t="s">
        <v>903</v>
      </c>
      <c r="B10" s="593" t="s">
        <v>904</v>
      </c>
      <c r="C10" s="594" t="s">
        <v>905</v>
      </c>
      <c r="D10" s="591" t="s">
        <v>929</v>
      </c>
      <c r="E10" s="600"/>
      <c r="F10" s="531"/>
      <c r="G10" s="593" t="s">
        <v>901</v>
      </c>
      <c r="H10" s="567">
        <v>1</v>
      </c>
      <c r="I10" s="569"/>
    </row>
    <row r="11" spans="1:9">
      <c r="A11" s="592" t="s">
        <v>898</v>
      </c>
      <c r="B11" s="593" t="s">
        <v>899</v>
      </c>
      <c r="C11" s="594" t="s">
        <v>504</v>
      </c>
      <c r="D11" s="599" t="s">
        <v>927</v>
      </c>
      <c r="E11" s="525"/>
      <c r="F11" s="531"/>
      <c r="G11" s="593" t="s">
        <v>695</v>
      </c>
      <c r="H11" s="567">
        <v>1</v>
      </c>
      <c r="I11" s="569"/>
    </row>
    <row r="12" spans="1:9">
      <c r="A12" s="592" t="s">
        <v>900</v>
      </c>
      <c r="B12" s="593" t="s">
        <v>901</v>
      </c>
      <c r="C12" s="594" t="s">
        <v>902</v>
      </c>
      <c r="D12" s="591" t="s">
        <v>928</v>
      </c>
      <c r="E12" s="600"/>
      <c r="F12" s="531"/>
      <c r="G12" s="593" t="s">
        <v>687</v>
      </c>
      <c r="H12" s="567">
        <v>1</v>
      </c>
      <c r="I12" s="569"/>
    </row>
    <row r="13" spans="1:9">
      <c r="A13" s="592" t="s">
        <v>805</v>
      </c>
      <c r="B13" s="593" t="s">
        <v>695</v>
      </c>
      <c r="C13" s="594" t="s">
        <v>522</v>
      </c>
      <c r="D13" s="599"/>
      <c r="E13" s="525"/>
      <c r="F13" s="531"/>
      <c r="G13" s="593" t="s">
        <v>701</v>
      </c>
      <c r="H13" s="567">
        <v>1</v>
      </c>
      <c r="I13" s="569"/>
    </row>
    <row r="14" spans="1:9">
      <c r="A14" s="592" t="s">
        <v>781</v>
      </c>
      <c r="B14" s="593" t="s">
        <v>687</v>
      </c>
      <c r="C14" s="594" t="s">
        <v>713</v>
      </c>
      <c r="D14" s="599"/>
      <c r="E14" s="525"/>
      <c r="F14" s="531"/>
      <c r="G14" s="593" t="s">
        <v>707</v>
      </c>
      <c r="H14" s="567">
        <v>1</v>
      </c>
      <c r="I14" s="569"/>
    </row>
    <row r="15" spans="1:9">
      <c r="A15" s="592" t="s">
        <v>701</v>
      </c>
      <c r="B15" s="593" t="s">
        <v>701</v>
      </c>
      <c r="C15" s="594" t="s">
        <v>721</v>
      </c>
      <c r="D15" s="599"/>
      <c r="E15" s="525"/>
      <c r="F15" s="531"/>
      <c r="G15" s="593" t="s">
        <v>708</v>
      </c>
      <c r="H15" s="567">
        <v>1</v>
      </c>
      <c r="I15" s="569"/>
    </row>
    <row r="16" spans="1:9">
      <c r="A16" s="592" t="s">
        <v>707</v>
      </c>
      <c r="B16" s="593" t="s">
        <v>707</v>
      </c>
      <c r="C16" s="594" t="s">
        <v>534</v>
      </c>
      <c r="D16" s="599"/>
      <c r="E16" s="525"/>
      <c r="F16" s="531"/>
      <c r="G16" s="597" t="s">
        <v>885</v>
      </c>
      <c r="H16" s="567">
        <v>1</v>
      </c>
      <c r="I16" s="569"/>
    </row>
    <row r="17" spans="1:9">
      <c r="A17" s="592" t="s">
        <v>816</v>
      </c>
      <c r="B17" s="593" t="s">
        <v>708</v>
      </c>
      <c r="C17" s="594" t="s">
        <v>726</v>
      </c>
      <c r="D17" s="599"/>
      <c r="E17" s="525"/>
      <c r="F17" s="531"/>
      <c r="G17" s="592" t="s">
        <v>887</v>
      </c>
      <c r="H17" s="567">
        <v>1</v>
      </c>
      <c r="I17" s="569"/>
    </row>
    <row r="18" spans="1:9">
      <c r="A18" s="592" t="s">
        <v>884</v>
      </c>
      <c r="B18" s="592" t="s">
        <v>885</v>
      </c>
      <c r="C18" s="594" t="s">
        <v>528</v>
      </c>
      <c r="D18" s="599" t="s">
        <v>833</v>
      </c>
      <c r="E18" s="525"/>
      <c r="F18" s="531"/>
      <c r="G18" s="593" t="s">
        <v>755</v>
      </c>
      <c r="H18" s="567">
        <v>0</v>
      </c>
      <c r="I18" s="569"/>
    </row>
    <row r="19" spans="1:9">
      <c r="A19" s="592" t="s">
        <v>808</v>
      </c>
      <c r="B19" s="593" t="s">
        <v>754</v>
      </c>
      <c r="C19" s="594" t="s">
        <v>525</v>
      </c>
      <c r="D19" s="599"/>
      <c r="E19" s="525" t="s">
        <v>831</v>
      </c>
      <c r="F19" s="531"/>
      <c r="G19" s="593" t="s">
        <v>743</v>
      </c>
      <c r="H19" s="567">
        <v>0</v>
      </c>
      <c r="I19" s="569"/>
    </row>
    <row r="20" spans="1:9">
      <c r="A20" s="592" t="s">
        <v>886</v>
      </c>
      <c r="B20" s="592" t="s">
        <v>887</v>
      </c>
      <c r="C20" s="594" t="s">
        <v>529</v>
      </c>
      <c r="D20" s="591" t="s">
        <v>833</v>
      </c>
      <c r="E20" s="600"/>
      <c r="F20" s="531"/>
      <c r="G20" s="593" t="s">
        <v>688</v>
      </c>
      <c r="H20" s="567">
        <v>0</v>
      </c>
      <c r="I20" s="569"/>
    </row>
    <row r="21" spans="1:9">
      <c r="A21" s="592" t="s">
        <v>809</v>
      </c>
      <c r="B21" s="593" t="s">
        <v>755</v>
      </c>
      <c r="C21" s="594" t="s">
        <v>526</v>
      </c>
      <c r="D21" s="599"/>
      <c r="E21" s="525"/>
      <c r="F21" s="531"/>
      <c r="G21" s="592" t="s">
        <v>924</v>
      </c>
      <c r="H21" s="567">
        <v>0</v>
      </c>
      <c r="I21" s="569"/>
    </row>
    <row r="22" spans="1:9">
      <c r="A22" s="592" t="s">
        <v>784</v>
      </c>
      <c r="B22" s="593" t="s">
        <v>743</v>
      </c>
      <c r="C22" s="594" t="s">
        <v>716</v>
      </c>
      <c r="D22" s="599" t="s">
        <v>832</v>
      </c>
      <c r="E22" s="525"/>
      <c r="F22" s="531"/>
      <c r="G22" s="593" t="s">
        <v>740</v>
      </c>
      <c r="H22" s="567">
        <v>0</v>
      </c>
      <c r="I22" s="569" t="s">
        <v>731</v>
      </c>
    </row>
    <row r="23" spans="1:9">
      <c r="A23" s="592" t="s">
        <v>782</v>
      </c>
      <c r="B23" s="593" t="s">
        <v>688</v>
      </c>
      <c r="C23" s="594" t="s">
        <v>714</v>
      </c>
      <c r="D23" s="599" t="s">
        <v>832</v>
      </c>
      <c r="E23" s="525"/>
      <c r="F23" s="531"/>
      <c r="G23" s="595" t="s">
        <v>866</v>
      </c>
      <c r="H23" s="567">
        <v>0</v>
      </c>
      <c r="I23" s="569" t="s">
        <v>731</v>
      </c>
    </row>
    <row r="24" spans="1:9">
      <c r="A24" s="592" t="s">
        <v>923</v>
      </c>
      <c r="B24" s="592" t="s">
        <v>924</v>
      </c>
      <c r="C24" s="594" t="s">
        <v>925</v>
      </c>
      <c r="D24" s="591"/>
      <c r="E24" s="600"/>
      <c r="F24" s="531"/>
      <c r="G24" s="593" t="s">
        <v>741</v>
      </c>
      <c r="H24" s="567">
        <v>0</v>
      </c>
      <c r="I24" s="569" t="s">
        <v>731</v>
      </c>
    </row>
    <row r="25" spans="1:9">
      <c r="A25" s="592" t="s">
        <v>788</v>
      </c>
      <c r="B25" s="593" t="s">
        <v>740</v>
      </c>
      <c r="C25" s="594" t="s">
        <v>505</v>
      </c>
      <c r="D25" s="599"/>
      <c r="E25" s="525"/>
      <c r="F25" s="531"/>
      <c r="G25" s="595" t="s">
        <v>867</v>
      </c>
      <c r="H25" s="567">
        <v>0</v>
      </c>
      <c r="I25" s="569" t="s">
        <v>731</v>
      </c>
    </row>
    <row r="26" spans="1:9">
      <c r="A26" s="592" t="s">
        <v>888</v>
      </c>
      <c r="B26" s="595" t="s">
        <v>866</v>
      </c>
      <c r="C26" s="596" t="s">
        <v>859</v>
      </c>
      <c r="D26" s="599"/>
      <c r="E26" s="525"/>
      <c r="F26" s="531"/>
      <c r="G26" s="593" t="s">
        <v>752</v>
      </c>
      <c r="H26" s="567">
        <v>0</v>
      </c>
      <c r="I26" s="569" t="s">
        <v>731</v>
      </c>
    </row>
    <row r="27" spans="1:9">
      <c r="A27" s="592" t="s">
        <v>789</v>
      </c>
      <c r="B27" s="593" t="s">
        <v>741</v>
      </c>
      <c r="C27" s="594" t="s">
        <v>506</v>
      </c>
      <c r="D27" s="599"/>
      <c r="E27" s="525"/>
      <c r="F27" s="531"/>
      <c r="G27" s="593" t="s">
        <v>753</v>
      </c>
      <c r="H27" s="567">
        <v>0</v>
      </c>
      <c r="I27" s="569" t="s">
        <v>731</v>
      </c>
    </row>
    <row r="28" spans="1:9">
      <c r="A28" s="592" t="s">
        <v>889</v>
      </c>
      <c r="B28" s="595" t="s">
        <v>867</v>
      </c>
      <c r="C28" s="596" t="s">
        <v>860</v>
      </c>
      <c r="D28" s="599"/>
      <c r="E28" s="525"/>
      <c r="F28" s="531"/>
      <c r="G28" s="593" t="s">
        <v>751</v>
      </c>
      <c r="H28" s="567">
        <v>0</v>
      </c>
      <c r="I28" s="569" t="s">
        <v>731</v>
      </c>
    </row>
    <row r="29" spans="1:9">
      <c r="A29" s="592" t="s">
        <v>799</v>
      </c>
      <c r="B29" s="593" t="s">
        <v>752</v>
      </c>
      <c r="C29" s="594" t="s">
        <v>516</v>
      </c>
      <c r="D29" s="599"/>
      <c r="E29" s="525"/>
      <c r="F29" s="531"/>
      <c r="G29" s="593" t="s">
        <v>744</v>
      </c>
      <c r="H29" s="567">
        <v>0</v>
      </c>
      <c r="I29" s="569" t="s">
        <v>731</v>
      </c>
    </row>
    <row r="30" spans="1:9">
      <c r="A30" s="592" t="s">
        <v>800</v>
      </c>
      <c r="B30" s="593" t="s">
        <v>753</v>
      </c>
      <c r="C30" s="594" t="s">
        <v>518</v>
      </c>
      <c r="D30" s="599"/>
      <c r="E30" s="525"/>
      <c r="F30" s="531"/>
      <c r="G30" s="595" t="s">
        <v>868</v>
      </c>
      <c r="H30" s="567">
        <v>0</v>
      </c>
      <c r="I30" s="569" t="s">
        <v>731</v>
      </c>
    </row>
    <row r="31" spans="1:9">
      <c r="A31" s="592" t="s">
        <v>798</v>
      </c>
      <c r="B31" s="593" t="s">
        <v>751</v>
      </c>
      <c r="C31" s="594" t="s">
        <v>515</v>
      </c>
      <c r="D31" s="599"/>
      <c r="E31" s="525"/>
      <c r="F31" s="531"/>
      <c r="G31" s="593" t="s">
        <v>749</v>
      </c>
      <c r="H31" s="567">
        <v>0</v>
      </c>
      <c r="I31" s="569" t="s">
        <v>731</v>
      </c>
    </row>
    <row r="32" spans="1:9">
      <c r="A32" s="592" t="s">
        <v>791</v>
      </c>
      <c r="B32" s="593" t="s">
        <v>744</v>
      </c>
      <c r="C32" s="594" t="s">
        <v>508</v>
      </c>
      <c r="D32" s="599"/>
      <c r="E32" s="525"/>
      <c r="F32" s="531"/>
      <c r="G32" s="595" t="s">
        <v>872</v>
      </c>
      <c r="H32" s="567">
        <v>0</v>
      </c>
      <c r="I32" s="569" t="s">
        <v>731</v>
      </c>
    </row>
    <row r="33" spans="1:9">
      <c r="A33" s="592" t="s">
        <v>892</v>
      </c>
      <c r="B33" s="595" t="s">
        <v>868</v>
      </c>
      <c r="C33" s="596" t="s">
        <v>861</v>
      </c>
      <c r="D33" s="599"/>
      <c r="E33" s="525"/>
      <c r="F33" s="531"/>
      <c r="G33" s="593" t="s">
        <v>693</v>
      </c>
      <c r="H33" s="567">
        <v>0</v>
      </c>
      <c r="I33" s="569" t="s">
        <v>731</v>
      </c>
    </row>
    <row r="34" spans="1:9">
      <c r="A34" s="592" t="s">
        <v>796</v>
      </c>
      <c r="B34" s="593" t="s">
        <v>749</v>
      </c>
      <c r="C34" s="594" t="s">
        <v>513</v>
      </c>
      <c r="D34" s="599"/>
      <c r="E34" s="525"/>
      <c r="F34" s="531"/>
      <c r="G34" s="593" t="s">
        <v>750</v>
      </c>
      <c r="H34" s="567">
        <v>1</v>
      </c>
      <c r="I34" s="569" t="s">
        <v>731</v>
      </c>
    </row>
    <row r="35" spans="1:9">
      <c r="A35" s="592" t="s">
        <v>893</v>
      </c>
      <c r="B35" s="595" t="s">
        <v>872</v>
      </c>
      <c r="C35" s="596" t="s">
        <v>865</v>
      </c>
      <c r="D35" s="599"/>
      <c r="E35" s="525"/>
      <c r="F35" s="531"/>
      <c r="G35" s="593" t="s">
        <v>745</v>
      </c>
      <c r="H35" s="567">
        <v>1</v>
      </c>
      <c r="I35" s="569" t="s">
        <v>731</v>
      </c>
    </row>
    <row r="36" spans="1:9">
      <c r="A36" s="592" t="s">
        <v>802</v>
      </c>
      <c r="B36" s="593" t="s">
        <v>693</v>
      </c>
      <c r="C36" s="594" t="s">
        <v>718</v>
      </c>
      <c r="D36" s="599"/>
      <c r="E36" s="525"/>
      <c r="F36" s="531"/>
      <c r="G36" s="593" t="s">
        <v>747</v>
      </c>
      <c r="H36" s="567">
        <v>1</v>
      </c>
      <c r="I36" s="569" t="s">
        <v>731</v>
      </c>
    </row>
    <row r="37" spans="1:9">
      <c r="A37" s="592" t="s">
        <v>797</v>
      </c>
      <c r="B37" s="593" t="s">
        <v>750</v>
      </c>
      <c r="C37" s="594" t="s">
        <v>514</v>
      </c>
      <c r="D37" s="599"/>
      <c r="E37" s="525"/>
      <c r="F37" s="531"/>
      <c r="G37" s="595" t="s">
        <v>870</v>
      </c>
      <c r="H37" s="567">
        <v>1</v>
      </c>
      <c r="I37" s="569" t="s">
        <v>731</v>
      </c>
    </row>
    <row r="38" spans="1:9">
      <c r="A38" s="592" t="s">
        <v>792</v>
      </c>
      <c r="B38" s="593" t="s">
        <v>745</v>
      </c>
      <c r="C38" s="594" t="s">
        <v>509</v>
      </c>
      <c r="D38" s="599"/>
      <c r="E38" s="525"/>
      <c r="F38" s="531"/>
      <c r="G38" s="593" t="s">
        <v>748</v>
      </c>
      <c r="H38" s="567">
        <v>0</v>
      </c>
      <c r="I38" s="569" t="s">
        <v>731</v>
      </c>
    </row>
    <row r="39" spans="1:9">
      <c r="A39" s="592" t="s">
        <v>794</v>
      </c>
      <c r="B39" s="593" t="s">
        <v>747</v>
      </c>
      <c r="C39" s="594" t="s">
        <v>511</v>
      </c>
      <c r="D39" s="599"/>
      <c r="E39" s="525"/>
      <c r="F39" s="531"/>
      <c r="G39" s="595" t="s">
        <v>871</v>
      </c>
      <c r="H39" s="567">
        <v>1</v>
      </c>
      <c r="I39" s="569" t="s">
        <v>731</v>
      </c>
    </row>
    <row r="40" spans="1:9">
      <c r="A40" s="592" t="s">
        <v>894</v>
      </c>
      <c r="B40" s="595" t="s">
        <v>870</v>
      </c>
      <c r="C40" s="596" t="s">
        <v>863</v>
      </c>
      <c r="D40" s="599"/>
      <c r="E40" s="525"/>
      <c r="F40" s="531"/>
      <c r="G40" s="593" t="s">
        <v>746</v>
      </c>
      <c r="H40" s="567">
        <v>1</v>
      </c>
      <c r="I40" s="569" t="s">
        <v>731</v>
      </c>
    </row>
    <row r="41" spans="1:9">
      <c r="A41" s="592" t="s">
        <v>795</v>
      </c>
      <c r="B41" s="593" t="s">
        <v>748</v>
      </c>
      <c r="C41" s="594" t="s">
        <v>512</v>
      </c>
      <c r="D41" s="599"/>
      <c r="E41" s="525"/>
      <c r="F41" s="531"/>
      <c r="G41" s="595" t="s">
        <v>869</v>
      </c>
      <c r="H41" s="567">
        <v>1</v>
      </c>
      <c r="I41" s="569" t="s">
        <v>731</v>
      </c>
    </row>
    <row r="42" spans="1:9">
      <c r="A42" s="592" t="s">
        <v>895</v>
      </c>
      <c r="B42" s="595" t="s">
        <v>871</v>
      </c>
      <c r="C42" s="596" t="s">
        <v>864</v>
      </c>
      <c r="D42" s="599"/>
      <c r="E42" s="525"/>
      <c r="F42" s="531"/>
      <c r="G42" s="593" t="s">
        <v>692</v>
      </c>
      <c r="H42" s="567">
        <v>1</v>
      </c>
      <c r="I42" s="569" t="s">
        <v>731</v>
      </c>
    </row>
    <row r="43" spans="1:9">
      <c r="A43" s="592" t="s">
        <v>793</v>
      </c>
      <c r="B43" s="593" t="s">
        <v>746</v>
      </c>
      <c r="C43" s="594" t="s">
        <v>510</v>
      </c>
      <c r="D43" s="599"/>
      <c r="E43" s="525"/>
      <c r="F43" s="531"/>
      <c r="G43" s="593" t="s">
        <v>742</v>
      </c>
      <c r="H43" s="567">
        <v>1</v>
      </c>
      <c r="I43" s="569" t="s">
        <v>731</v>
      </c>
    </row>
    <row r="44" spans="1:9">
      <c r="A44" s="592" t="s">
        <v>803</v>
      </c>
      <c r="B44" s="593" t="s">
        <v>569</v>
      </c>
      <c r="C44" s="594" t="s">
        <v>520</v>
      </c>
      <c r="D44" s="599"/>
      <c r="E44" s="525" t="s">
        <v>831</v>
      </c>
      <c r="F44" s="531"/>
      <c r="G44" s="593" t="s">
        <v>828</v>
      </c>
      <c r="H44" s="567">
        <v>1</v>
      </c>
      <c r="I44" s="569" t="s">
        <v>731</v>
      </c>
    </row>
    <row r="45" spans="1:9">
      <c r="A45" s="592" t="s">
        <v>896</v>
      </c>
      <c r="B45" s="595" t="s">
        <v>869</v>
      </c>
      <c r="C45" s="596" t="s">
        <v>862</v>
      </c>
      <c r="D45" s="599"/>
      <c r="E45" s="525"/>
      <c r="F45" s="531"/>
      <c r="G45" s="593" t="s">
        <v>694</v>
      </c>
      <c r="H45" s="567">
        <v>1</v>
      </c>
      <c r="I45" s="569"/>
    </row>
    <row r="46" spans="1:9">
      <c r="A46" s="592" t="s">
        <v>801</v>
      </c>
      <c r="B46" s="593" t="s">
        <v>692</v>
      </c>
      <c r="C46" s="594" t="s">
        <v>717</v>
      </c>
      <c r="D46" s="599"/>
      <c r="E46" s="525"/>
      <c r="F46" s="531"/>
      <c r="G46" s="593" t="s">
        <v>685</v>
      </c>
      <c r="H46" s="567">
        <v>1</v>
      </c>
      <c r="I46" s="569"/>
    </row>
    <row r="47" spans="1:9">
      <c r="A47" s="592" t="s">
        <v>790</v>
      </c>
      <c r="B47" s="593" t="s">
        <v>742</v>
      </c>
      <c r="C47" s="594" t="s">
        <v>507</v>
      </c>
      <c r="D47" s="599"/>
      <c r="E47" s="525"/>
      <c r="F47" s="531"/>
      <c r="G47" s="593" t="s">
        <v>671</v>
      </c>
      <c r="H47" s="567">
        <v>1</v>
      </c>
      <c r="I47" s="569"/>
    </row>
    <row r="48" spans="1:9">
      <c r="A48" s="592" t="s">
        <v>897</v>
      </c>
      <c r="B48" s="593" t="s">
        <v>828</v>
      </c>
      <c r="C48" s="594" t="s">
        <v>519</v>
      </c>
      <c r="D48" s="599"/>
      <c r="E48" s="525"/>
      <c r="F48" s="531"/>
      <c r="G48" s="593" t="s">
        <v>697</v>
      </c>
      <c r="H48" s="567">
        <v>1</v>
      </c>
      <c r="I48" s="569"/>
    </row>
    <row r="49" spans="1:9">
      <c r="A49" s="592" t="s">
        <v>804</v>
      </c>
      <c r="B49" s="593" t="s">
        <v>694</v>
      </c>
      <c r="C49" s="594" t="s">
        <v>521</v>
      </c>
      <c r="D49" s="599"/>
      <c r="E49" s="525"/>
      <c r="F49" s="531"/>
      <c r="G49" s="597" t="s">
        <v>891</v>
      </c>
      <c r="H49" s="567">
        <v>1</v>
      </c>
      <c r="I49" s="569" t="s">
        <v>731</v>
      </c>
    </row>
    <row r="50" spans="1:9">
      <c r="A50" s="592" t="s">
        <v>780</v>
      </c>
      <c r="B50" s="593" t="s">
        <v>685</v>
      </c>
      <c r="C50" s="594" t="s">
        <v>711</v>
      </c>
      <c r="D50" s="599" t="s">
        <v>832</v>
      </c>
      <c r="E50" s="525"/>
      <c r="F50" s="531"/>
      <c r="G50" s="593" t="s">
        <v>706</v>
      </c>
      <c r="H50" s="567">
        <v>1</v>
      </c>
      <c r="I50" s="569"/>
    </row>
    <row r="51" spans="1:9">
      <c r="A51" s="592" t="s">
        <v>827</v>
      </c>
      <c r="B51" s="593" t="s">
        <v>671</v>
      </c>
      <c r="C51" s="594" t="s">
        <v>670</v>
      </c>
      <c r="D51" s="599" t="s">
        <v>834</v>
      </c>
      <c r="E51" s="525"/>
      <c r="F51" s="531"/>
      <c r="G51" s="593" t="s">
        <v>758</v>
      </c>
      <c r="H51" s="567">
        <v>1</v>
      </c>
      <c r="I51" s="569"/>
    </row>
    <row r="52" spans="1:9">
      <c r="A52" s="592" t="s">
        <v>807</v>
      </c>
      <c r="B52" s="593" t="s">
        <v>697</v>
      </c>
      <c r="C52" s="594" t="s">
        <v>524</v>
      </c>
      <c r="D52" s="599"/>
      <c r="E52" s="525"/>
      <c r="F52" s="531"/>
      <c r="G52" s="593" t="s">
        <v>696</v>
      </c>
      <c r="H52" s="567">
        <v>1</v>
      </c>
      <c r="I52" s="569"/>
    </row>
    <row r="53" spans="1:9">
      <c r="A53" s="592" t="s">
        <v>890</v>
      </c>
      <c r="B53" s="592" t="s">
        <v>891</v>
      </c>
      <c r="C53" s="594" t="s">
        <v>517</v>
      </c>
      <c r="D53" s="599"/>
      <c r="E53" s="525"/>
      <c r="F53" s="531"/>
      <c r="G53" s="593" t="s">
        <v>686</v>
      </c>
      <c r="H53" s="567">
        <v>1</v>
      </c>
      <c r="I53" s="569"/>
    </row>
    <row r="54" spans="1:9">
      <c r="A54" s="592" t="s">
        <v>706</v>
      </c>
      <c r="B54" s="593" t="s">
        <v>706</v>
      </c>
      <c r="C54" s="594" t="s">
        <v>533</v>
      </c>
      <c r="D54" s="599"/>
      <c r="E54" s="525"/>
      <c r="F54" s="531"/>
      <c r="G54" s="593" t="s">
        <v>704</v>
      </c>
      <c r="H54" s="567">
        <v>1</v>
      </c>
      <c r="I54" s="569"/>
    </row>
    <row r="55" spans="1:9">
      <c r="A55" s="592" t="s">
        <v>815</v>
      </c>
      <c r="B55" s="593" t="s">
        <v>758</v>
      </c>
      <c r="C55" s="594" t="s">
        <v>725</v>
      </c>
      <c r="D55" s="599"/>
      <c r="E55" s="525"/>
      <c r="F55" s="531"/>
      <c r="G55" s="593" t="s">
        <v>702</v>
      </c>
      <c r="H55" s="567">
        <v>1</v>
      </c>
      <c r="I55" s="569"/>
    </row>
    <row r="56" spans="1:9">
      <c r="A56" s="592" t="s">
        <v>806</v>
      </c>
      <c r="B56" s="593" t="s">
        <v>696</v>
      </c>
      <c r="C56" s="594" t="s">
        <v>523</v>
      </c>
      <c r="D56" s="599" t="s">
        <v>835</v>
      </c>
      <c r="E56" s="525"/>
      <c r="F56" s="531"/>
      <c r="G56" s="593" t="s">
        <v>757</v>
      </c>
      <c r="H56" s="567">
        <v>1</v>
      </c>
      <c r="I56" s="569"/>
    </row>
    <row r="57" spans="1:9">
      <c r="A57" s="592" t="s">
        <v>810</v>
      </c>
      <c r="B57" s="593" t="s">
        <v>698</v>
      </c>
      <c r="C57" s="594" t="s">
        <v>527</v>
      </c>
      <c r="D57" s="599"/>
      <c r="E57" s="525" t="s">
        <v>831</v>
      </c>
      <c r="F57" s="531"/>
      <c r="G57" s="593" t="s">
        <v>756</v>
      </c>
      <c r="H57" s="567">
        <v>1</v>
      </c>
      <c r="I57" s="569"/>
    </row>
    <row r="58" spans="1:9">
      <c r="A58" s="592" t="s">
        <v>686</v>
      </c>
      <c r="B58" s="593" t="s">
        <v>686</v>
      </c>
      <c r="C58" s="594" t="s">
        <v>712</v>
      </c>
      <c r="D58" s="599" t="s">
        <v>832</v>
      </c>
      <c r="E58" s="525"/>
      <c r="F58" s="531"/>
      <c r="G58" s="593" t="s">
        <v>705</v>
      </c>
      <c r="H58" s="567">
        <v>1</v>
      </c>
      <c r="I58" s="569"/>
    </row>
    <row r="59" spans="1:9">
      <c r="A59" s="592" t="s">
        <v>704</v>
      </c>
      <c r="B59" s="593" t="s">
        <v>704</v>
      </c>
      <c r="C59" s="594" t="s">
        <v>532</v>
      </c>
      <c r="D59" s="599"/>
      <c r="E59" s="525"/>
      <c r="F59" s="531"/>
      <c r="G59" s="593" t="s">
        <v>703</v>
      </c>
      <c r="H59" s="567"/>
      <c r="I59" s="569"/>
    </row>
    <row r="60" spans="1:9">
      <c r="A60" s="592" t="s">
        <v>702</v>
      </c>
      <c r="B60" s="593" t="s">
        <v>702</v>
      </c>
      <c r="C60" s="594" t="s">
        <v>722</v>
      </c>
      <c r="D60" s="599"/>
      <c r="E60" s="525"/>
      <c r="F60" s="531"/>
      <c r="G60" s="593" t="s">
        <v>766</v>
      </c>
      <c r="H60" s="567"/>
      <c r="I60" s="569"/>
    </row>
    <row r="61" spans="1:9">
      <c r="A61" s="592" t="s">
        <v>814</v>
      </c>
      <c r="B61" s="593" t="s">
        <v>757</v>
      </c>
      <c r="C61" s="594" t="s">
        <v>531</v>
      </c>
      <c r="D61" s="599"/>
      <c r="E61" s="525"/>
      <c r="F61" s="531"/>
      <c r="G61" s="593" t="s">
        <v>759</v>
      </c>
      <c r="H61" s="567"/>
      <c r="I61" s="569"/>
    </row>
    <row r="62" spans="1:9">
      <c r="A62" s="592" t="s">
        <v>813</v>
      </c>
      <c r="B62" s="593" t="s">
        <v>756</v>
      </c>
      <c r="C62" s="594" t="s">
        <v>530</v>
      </c>
      <c r="D62" s="599"/>
      <c r="E62" s="525"/>
      <c r="F62" s="531"/>
      <c r="G62" s="593" t="s">
        <v>912</v>
      </c>
      <c r="H62" s="567"/>
      <c r="I62" s="569"/>
    </row>
    <row r="63" spans="1:9">
      <c r="A63" s="592" t="s">
        <v>705</v>
      </c>
      <c r="B63" s="593" t="s">
        <v>705</v>
      </c>
      <c r="C63" s="594" t="s">
        <v>724</v>
      </c>
      <c r="D63" s="599"/>
      <c r="E63" s="525"/>
      <c r="F63" s="531"/>
      <c r="G63" s="598" t="s">
        <v>910</v>
      </c>
      <c r="H63" s="567"/>
      <c r="I63" s="569"/>
    </row>
    <row r="64" spans="1:9">
      <c r="A64" s="592" t="s">
        <v>817</v>
      </c>
      <c r="B64" s="593" t="s">
        <v>709</v>
      </c>
      <c r="C64" s="594" t="s">
        <v>535</v>
      </c>
      <c r="D64" s="599"/>
      <c r="E64" s="525" t="s">
        <v>831</v>
      </c>
      <c r="F64" s="531"/>
      <c r="G64" s="593" t="s">
        <v>763</v>
      </c>
      <c r="H64" s="567"/>
      <c r="I64" s="569"/>
    </row>
    <row r="65" spans="1:9">
      <c r="A65" s="592" t="s">
        <v>703</v>
      </c>
      <c r="B65" s="593" t="s">
        <v>703</v>
      </c>
      <c r="C65" s="594" t="s">
        <v>723</v>
      </c>
      <c r="D65" s="599"/>
      <c r="E65" s="525"/>
      <c r="F65" s="531"/>
      <c r="G65" s="593" t="s">
        <v>917</v>
      </c>
      <c r="H65" s="567"/>
      <c r="I65" s="569"/>
    </row>
    <row r="66" spans="1:9">
      <c r="A66" s="592" t="s">
        <v>826</v>
      </c>
      <c r="B66" s="593" t="s">
        <v>766</v>
      </c>
      <c r="C66" s="594" t="s">
        <v>549</v>
      </c>
      <c r="D66" s="599"/>
      <c r="E66" s="525"/>
      <c r="F66" s="531"/>
      <c r="G66" s="598" t="s">
        <v>915</v>
      </c>
      <c r="H66" s="567"/>
      <c r="I66" s="569"/>
    </row>
    <row r="67" spans="1:9">
      <c r="A67" s="592" t="s">
        <v>818</v>
      </c>
      <c r="B67" s="593" t="s">
        <v>759</v>
      </c>
      <c r="C67" s="594" t="s">
        <v>536</v>
      </c>
      <c r="D67" s="599" t="s">
        <v>777</v>
      </c>
      <c r="E67" s="525"/>
      <c r="F67" s="531"/>
      <c r="G67" s="593" t="s">
        <v>764</v>
      </c>
      <c r="H67" s="567"/>
      <c r="I67" s="569"/>
    </row>
    <row r="68" spans="1:9">
      <c r="A68" s="592" t="s">
        <v>911</v>
      </c>
      <c r="B68" s="593" t="s">
        <v>912</v>
      </c>
      <c r="C68" s="594" t="s">
        <v>913</v>
      </c>
      <c r="D68" s="591" t="s">
        <v>777</v>
      </c>
      <c r="E68" s="600"/>
      <c r="F68" s="531"/>
      <c r="G68" s="593" t="s">
        <v>760</v>
      </c>
      <c r="H68" s="567"/>
      <c r="I68" s="569"/>
    </row>
    <row r="69" spans="1:9">
      <c r="A69" s="593" t="s">
        <v>909</v>
      </c>
      <c r="B69" s="593" t="s">
        <v>910</v>
      </c>
      <c r="C69" s="594" t="s">
        <v>544</v>
      </c>
      <c r="D69" s="599" t="s">
        <v>777</v>
      </c>
      <c r="E69" s="525"/>
      <c r="F69" s="531"/>
      <c r="G69" s="593" t="s">
        <v>765</v>
      </c>
      <c r="H69" s="567"/>
      <c r="I69" s="569"/>
    </row>
    <row r="70" spans="1:9">
      <c r="A70" s="592" t="s">
        <v>823</v>
      </c>
      <c r="B70" s="593" t="s">
        <v>763</v>
      </c>
      <c r="C70" s="594" t="s">
        <v>546</v>
      </c>
      <c r="D70" s="599" t="s">
        <v>777</v>
      </c>
      <c r="E70" s="525"/>
      <c r="G70" s="593" t="s">
        <v>689</v>
      </c>
      <c r="H70" s="567"/>
      <c r="I70" s="569"/>
    </row>
    <row r="71" spans="1:9">
      <c r="A71" s="592" t="s">
        <v>916</v>
      </c>
      <c r="B71" s="593" t="s">
        <v>917</v>
      </c>
      <c r="C71" s="594" t="s">
        <v>547</v>
      </c>
      <c r="D71" s="591" t="s">
        <v>777</v>
      </c>
      <c r="E71" s="600"/>
      <c r="G71" s="593" t="s">
        <v>761</v>
      </c>
      <c r="H71" s="567"/>
      <c r="I71" s="569"/>
    </row>
    <row r="72" spans="1:9">
      <c r="A72" s="593" t="s">
        <v>914</v>
      </c>
      <c r="B72" s="593" t="s">
        <v>915</v>
      </c>
      <c r="C72" s="594" t="s">
        <v>545</v>
      </c>
      <c r="D72" s="599" t="s">
        <v>777</v>
      </c>
      <c r="E72" s="525"/>
      <c r="G72" s="593" t="s">
        <v>762</v>
      </c>
      <c r="H72" s="567"/>
      <c r="I72" s="569"/>
    </row>
    <row r="73" spans="1:9">
      <c r="A73" s="592" t="s">
        <v>822</v>
      </c>
      <c r="B73" s="593" t="s">
        <v>768</v>
      </c>
      <c r="C73" s="594" t="s">
        <v>543</v>
      </c>
      <c r="D73" s="599" t="s">
        <v>836</v>
      </c>
      <c r="E73" s="525" t="s">
        <v>831</v>
      </c>
      <c r="G73" s="593" t="s">
        <v>700</v>
      </c>
      <c r="H73" s="567"/>
      <c r="I73" s="605"/>
    </row>
    <row r="74" spans="1:9">
      <c r="A74" s="592" t="s">
        <v>824</v>
      </c>
      <c r="B74" s="593" t="s">
        <v>764</v>
      </c>
      <c r="C74" s="594" t="s">
        <v>547</v>
      </c>
      <c r="D74" s="599" t="s">
        <v>777</v>
      </c>
      <c r="E74" s="525"/>
      <c r="G74" s="593" t="s">
        <v>699</v>
      </c>
      <c r="H74" s="538"/>
      <c r="I74" s="537"/>
    </row>
    <row r="75" spans="1:9">
      <c r="A75" s="592" t="s">
        <v>819</v>
      </c>
      <c r="B75" s="593" t="s">
        <v>760</v>
      </c>
      <c r="C75" s="594" t="s">
        <v>539</v>
      </c>
      <c r="D75" s="599"/>
      <c r="E75" s="525"/>
    </row>
    <row r="76" spans="1:9">
      <c r="A76" s="592" t="s">
        <v>825</v>
      </c>
      <c r="B76" s="593" t="s">
        <v>765</v>
      </c>
      <c r="C76" s="594" t="s">
        <v>548</v>
      </c>
      <c r="D76" s="599" t="s">
        <v>777</v>
      </c>
      <c r="E76" s="525"/>
    </row>
    <row r="77" spans="1:9">
      <c r="A77" s="592" t="s">
        <v>783</v>
      </c>
      <c r="B77" s="593" t="s">
        <v>689</v>
      </c>
      <c r="C77" s="594" t="s">
        <v>715</v>
      </c>
      <c r="D77" s="599" t="s">
        <v>832</v>
      </c>
      <c r="E77" s="525"/>
    </row>
    <row r="78" spans="1:9">
      <c r="A78" s="597" t="s">
        <v>918</v>
      </c>
      <c r="B78" s="597" t="s">
        <v>919</v>
      </c>
      <c r="C78" s="594" t="s">
        <v>542</v>
      </c>
      <c r="D78" s="599" t="s">
        <v>837</v>
      </c>
      <c r="E78" s="525" t="s">
        <v>831</v>
      </c>
    </row>
    <row r="79" spans="1:9">
      <c r="A79" s="592" t="s">
        <v>920</v>
      </c>
      <c r="B79" s="593" t="s">
        <v>921</v>
      </c>
      <c r="C79" s="594" t="s">
        <v>922</v>
      </c>
      <c r="D79" s="591" t="s">
        <v>837</v>
      </c>
      <c r="E79" s="600" t="s">
        <v>831</v>
      </c>
    </row>
    <row r="80" spans="1:9">
      <c r="A80" s="592" t="s">
        <v>820</v>
      </c>
      <c r="B80" s="593" t="s">
        <v>761</v>
      </c>
      <c r="C80" s="594" t="s">
        <v>540</v>
      </c>
      <c r="D80" s="599" t="s">
        <v>777</v>
      </c>
      <c r="E80" s="525"/>
    </row>
    <row r="81" spans="1:8">
      <c r="A81" s="592" t="s">
        <v>821</v>
      </c>
      <c r="B81" s="593" t="s">
        <v>762</v>
      </c>
      <c r="C81" s="594" t="s">
        <v>541</v>
      </c>
      <c r="D81" s="599" t="s">
        <v>777</v>
      </c>
      <c r="E81" s="525"/>
    </row>
    <row r="82" spans="1:8">
      <c r="A82" s="592" t="s">
        <v>812</v>
      </c>
      <c r="B82" s="593" t="s">
        <v>700</v>
      </c>
      <c r="C82" s="594" t="s">
        <v>720</v>
      </c>
      <c r="D82" s="599"/>
      <c r="E82" s="525"/>
    </row>
    <row r="83" spans="1:8">
      <c r="A83" s="592" t="s">
        <v>811</v>
      </c>
      <c r="B83" s="593" t="s">
        <v>699</v>
      </c>
      <c r="C83" s="594" t="s">
        <v>719</v>
      </c>
      <c r="D83" s="599"/>
      <c r="E83" s="525"/>
    </row>
    <row r="84" spans="1:8">
      <c r="D84" s="528"/>
      <c r="E84" s="528"/>
    </row>
    <row r="85" spans="1:8">
      <c r="D85" s="528"/>
      <c r="E85" s="528"/>
    </row>
    <row r="88" spans="1:8" ht="25.8">
      <c r="A88" s="863" t="s">
        <v>770</v>
      </c>
      <c r="B88" s="863"/>
      <c r="C88" s="863"/>
      <c r="D88" s="863"/>
      <c r="E88" s="863"/>
      <c r="G88" s="863" t="s">
        <v>935</v>
      </c>
      <c r="H88" s="863"/>
    </row>
    <row r="89" spans="1:8" ht="43.2">
      <c r="A89" s="533"/>
      <c r="B89" s="529" t="s">
        <v>727</v>
      </c>
      <c r="C89" s="529" t="s">
        <v>728</v>
      </c>
      <c r="D89" s="530" t="s">
        <v>729</v>
      </c>
      <c r="E89" s="536" t="s">
        <v>730</v>
      </c>
      <c r="G89" s="532" t="s">
        <v>778</v>
      </c>
      <c r="H89" s="538" t="s">
        <v>771</v>
      </c>
    </row>
    <row r="90" spans="1:8">
      <c r="A90" s="592" t="s">
        <v>906</v>
      </c>
      <c r="B90" s="593" t="s">
        <v>907</v>
      </c>
      <c r="C90" s="594" t="s">
        <v>908</v>
      </c>
      <c r="D90" s="595" t="s">
        <v>930</v>
      </c>
      <c r="E90" s="603"/>
      <c r="G90" s="532" t="s">
        <v>775</v>
      </c>
      <c r="H90" s="538" t="s">
        <v>772</v>
      </c>
    </row>
    <row r="91" spans="1:8">
      <c r="A91" s="592" t="s">
        <v>903</v>
      </c>
      <c r="B91" s="593" t="s">
        <v>904</v>
      </c>
      <c r="C91" s="594" t="s">
        <v>905</v>
      </c>
      <c r="D91" s="595" t="s">
        <v>929</v>
      </c>
      <c r="E91" s="603"/>
      <c r="G91" s="532" t="s">
        <v>838</v>
      </c>
      <c r="H91" s="538" t="s">
        <v>773</v>
      </c>
    </row>
    <row r="92" spans="1:8">
      <c r="A92" s="592" t="s">
        <v>898</v>
      </c>
      <c r="B92" s="604" t="s">
        <v>899</v>
      </c>
      <c r="C92" s="594" t="s">
        <v>504</v>
      </c>
      <c r="D92" s="595" t="s">
        <v>927</v>
      </c>
      <c r="E92" s="603"/>
      <c r="G92" s="532" t="s">
        <v>839</v>
      </c>
      <c r="H92" s="538" t="s">
        <v>774</v>
      </c>
    </row>
    <row r="93" spans="1:8" ht="28.2">
      <c r="A93" s="601" t="s">
        <v>822</v>
      </c>
      <c r="B93" s="596" t="s">
        <v>691</v>
      </c>
      <c r="C93" s="596" t="s">
        <v>503</v>
      </c>
      <c r="D93" s="595" t="s">
        <v>830</v>
      </c>
      <c r="E93" s="602" t="s">
        <v>831</v>
      </c>
    </row>
    <row r="94" spans="1:8" ht="28.2">
      <c r="A94" s="601" t="s">
        <v>786</v>
      </c>
      <c r="B94" s="596" t="s">
        <v>767</v>
      </c>
      <c r="C94" s="596" t="s">
        <v>502</v>
      </c>
      <c r="D94" s="595" t="s">
        <v>830</v>
      </c>
      <c r="E94" s="602" t="s">
        <v>831</v>
      </c>
    </row>
    <row r="95" spans="1:8">
      <c r="A95" s="592" t="s">
        <v>900</v>
      </c>
      <c r="B95" s="593" t="s">
        <v>901</v>
      </c>
      <c r="C95" s="594" t="s">
        <v>902</v>
      </c>
      <c r="D95" s="595" t="s">
        <v>928</v>
      </c>
      <c r="E95" s="603"/>
    </row>
    <row r="96" spans="1:8">
      <c r="A96" s="592" t="s">
        <v>884</v>
      </c>
      <c r="B96" s="592" t="s">
        <v>885</v>
      </c>
      <c r="C96" s="592" t="s">
        <v>528</v>
      </c>
      <c r="D96" s="595" t="s">
        <v>835</v>
      </c>
      <c r="E96" s="602"/>
    </row>
    <row r="97" spans="1:5">
      <c r="A97" s="592" t="s">
        <v>886</v>
      </c>
      <c r="B97" s="592" t="s">
        <v>887</v>
      </c>
      <c r="C97" s="592" t="s">
        <v>529</v>
      </c>
      <c r="D97" s="595" t="s">
        <v>835</v>
      </c>
      <c r="E97" s="602"/>
    </row>
    <row r="98" spans="1:5">
      <c r="A98" s="601" t="s">
        <v>806</v>
      </c>
      <c r="B98" s="596" t="s">
        <v>696</v>
      </c>
      <c r="C98" s="592" t="s">
        <v>523</v>
      </c>
      <c r="D98" s="595" t="s">
        <v>833</v>
      </c>
      <c r="E98" s="602"/>
    </row>
    <row r="99" spans="1:5">
      <c r="A99" s="592" t="s">
        <v>686</v>
      </c>
      <c r="B99" s="593" t="s">
        <v>686</v>
      </c>
      <c r="C99" s="594" t="s">
        <v>712</v>
      </c>
      <c r="D99" s="595" t="s">
        <v>832</v>
      </c>
      <c r="E99" s="603"/>
    </row>
    <row r="100" spans="1:5">
      <c r="A100" s="592" t="s">
        <v>822</v>
      </c>
      <c r="B100" s="596" t="s">
        <v>768</v>
      </c>
      <c r="C100" s="596" t="s">
        <v>543</v>
      </c>
      <c r="D100" s="595" t="s">
        <v>836</v>
      </c>
      <c r="E100" s="602"/>
    </row>
    <row r="101" spans="1:5">
      <c r="A101" s="592" t="s">
        <v>918</v>
      </c>
      <c r="B101" s="592" t="s">
        <v>919</v>
      </c>
      <c r="C101" s="594" t="s">
        <v>542</v>
      </c>
      <c r="D101" s="595" t="s">
        <v>837</v>
      </c>
      <c r="E101" s="603" t="s">
        <v>831</v>
      </c>
    </row>
    <row r="102" spans="1:5">
      <c r="A102" s="592" t="s">
        <v>920</v>
      </c>
      <c r="B102" s="604" t="s">
        <v>921</v>
      </c>
      <c r="C102" s="594" t="s">
        <v>922</v>
      </c>
      <c r="D102" s="595" t="s">
        <v>837</v>
      </c>
      <c r="E102" s="603" t="s">
        <v>831</v>
      </c>
    </row>
  </sheetData>
  <autoFilter ref="A3:E83" xr:uid="{00000000-0009-0000-0000-000006000000}"/>
  <sortState xmlns:xlrd2="http://schemas.microsoft.com/office/spreadsheetml/2017/richdata2" ref="G4:I73">
    <sortCondition ref="G4:G73"/>
  </sortState>
  <mergeCells count="4">
    <mergeCell ref="A2:E2"/>
    <mergeCell ref="G2:I2"/>
    <mergeCell ref="A88:E88"/>
    <mergeCell ref="G88:H88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08Prot"/>
  <dimension ref="B3:B4"/>
  <sheetViews>
    <sheetView zoomScaleNormal="100" workbookViewId="0">
      <selection activeCell="D13" sqref="D13"/>
    </sheetView>
  </sheetViews>
  <sheetFormatPr baseColWidth="10" defaultRowHeight="14.4"/>
  <sheetData>
    <row r="3" spans="2:2" ht="18">
      <c r="B3" s="565" t="s">
        <v>879</v>
      </c>
    </row>
    <row r="4" spans="2:2">
      <c r="B4" s="566" t="s">
        <v>878</v>
      </c>
    </row>
  </sheetData>
  <pageMargins left="0.7" right="0.7" top="0.78740157499999996" bottom="0.78740157499999996" header="0.3" footer="0.3"/>
  <pageSetup paperSize="9" scale="7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3">
    <tabColor theme="0" tint="-4.9989318521683403E-2"/>
  </sheetPr>
  <dimension ref="A3:IV18"/>
  <sheetViews>
    <sheetView showGridLines="0" zoomScaleNormal="100" workbookViewId="0">
      <selection activeCell="I30" sqref="I30"/>
    </sheetView>
  </sheetViews>
  <sheetFormatPr baseColWidth="10" defaultColWidth="11.5546875" defaultRowHeight="14.4"/>
  <sheetData>
    <row r="3" spans="1:256">
      <c r="B3" s="656" t="s">
        <v>960</v>
      </c>
    </row>
    <row r="4" spans="1:256">
      <c r="B4" s="655"/>
    </row>
    <row r="5" spans="1:256">
      <c r="B5" s="658"/>
    </row>
    <row r="7" spans="1:256">
      <c r="B7" s="674" t="s">
        <v>961</v>
      </c>
    </row>
    <row r="13" spans="1:256" s="657" customFormat="1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s="657" customFormat="1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s="657" customFormat="1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s="657" customFormat="1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s="657" customFormat="1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s="657" customFormat="1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</sheetData>
  <sheetProtection password="CC7D" sheet="1" objects="1" scenarios="1"/>
  <pageMargins left="0.7" right="0.7" top="0.78740157499999996" bottom="0.78740157499999996" header="0.3" footer="0.3"/>
  <pageSetup paperSize="9" scale="8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F0B0E28BDA094E9B93D2617D3764CE" ma:contentTypeVersion="3" ma:contentTypeDescription="Ein neues Dokument erstellen." ma:contentTypeScope="" ma:versionID="dc16d6cf2c836cdc81199d2d446a59f5">
  <xsd:schema xmlns:xsd="http://www.w3.org/2001/XMLSchema" xmlns:xs="http://www.w3.org/2001/XMLSchema" xmlns:p="http://schemas.microsoft.com/office/2006/metadata/properties" xmlns:ns2="69be98a1-4f79-4d29-b61a-26caf4743240" targetNamespace="http://schemas.microsoft.com/office/2006/metadata/properties" ma:root="true" ma:fieldsID="122de577c56c9dac3fe720c12eb98547" ns2:_="">
    <xsd:import namespace="69be98a1-4f79-4d29-b61a-26caf474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e98a1-4f79-4d29-b61a-26caf47432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C30412537D44E418CCE9AB9A8A4B61C" ma:contentTypeVersion="28" ma:contentTypeDescription="Ein neues Dokument erstellen." ma:contentTypeScope="" ma:versionID="9894ae57ac60e896c6bfbbae1a910900">
  <xsd:schema xmlns:xsd="http://www.w3.org/2001/XMLSchema" xmlns:xs="http://www.w3.org/2001/XMLSchema" xmlns:p="http://schemas.microsoft.com/office/2006/metadata/properties" xmlns:ns1="http://schemas.microsoft.com/sharepoint/v3" xmlns:ns2="4d5e9ab7-90b5-491e-9da4-d989b0c1177b" xmlns:ns3="6824841b-6506-4933-88d3-5170f6c0e270" targetNamespace="http://schemas.microsoft.com/office/2006/metadata/properties" ma:root="true" ma:fieldsID="d07c1bc13b8dd3f865c623264f558355" ns1:_="" ns2:_="" ns3:_="">
    <xsd:import namespace="http://schemas.microsoft.com/sharepoint/v3"/>
    <xsd:import namespace="4d5e9ab7-90b5-491e-9da4-d989b0c1177b"/>
    <xsd:import namespace="6824841b-6506-4933-88d3-5170f6c0e27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Unterkategorie" minOccurs="0"/>
                <xsd:element ref="ns2:TaxKeywordTaxHTField" minOccurs="0"/>
                <xsd:element ref="ns2:TaxCatchAll" minOccurs="0"/>
                <xsd:element ref="ns3:G_x00fc_ltigkeit"/>
                <xsd:element ref="ns3:Verantwortlich"/>
                <xsd:element ref="ns3:Dateipfa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8" nillable="true" ma:displayName="Bewertung (0 - 5)" ma:decimals="2" ma:description="Mittelwert aller Bewertungen, die abgegeben wurden." ma:internalName="AverageRating" ma:readOnly="true">
      <xsd:simpleType>
        <xsd:restriction base="dms:Number"/>
      </xsd:simpleType>
    </xsd:element>
    <xsd:element name="RatingCount" ma:index="19" nillable="true" ma:displayName="Anzahl Bewertungen" ma:decimals="0" ma:description="Anzahl abgegebener Bewertungen" ma:internalName="RatingCount" ma:readOnly="true">
      <xsd:simpleType>
        <xsd:restriction base="dms:Number"/>
      </xsd:simpleType>
    </xsd:element>
    <xsd:element name="RatedBy" ma:index="20" nillable="true" ma:displayName="Bewertet von" ma:description="Benutzer haben das Element bewerte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21" nillable="true" ma:displayName="Benutzerbewertungen" ma:description="Bewertungen für das Element" ma:hidden="true" ma:internalName="Ratings">
      <xsd:simpleType>
        <xsd:restriction base="dms:Note"/>
      </xsd:simpleType>
    </xsd:element>
    <xsd:element name="LikesCount" ma:index="22" nillable="true" ma:displayName="Anzahl 'Gefällt mir'" ma:internalName="LikesCount">
      <xsd:simpleType>
        <xsd:restriction base="dms:Unknown"/>
      </xsd:simpleType>
    </xsd:element>
    <xsd:element name="LikedBy" ma:index="23" nillable="true" ma:displayName="Gefällt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5e9ab7-90b5-491e-9da4-d989b0c1177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KeywordTaxHTField" ma:index="13" nillable="true" ma:taxonomy="true" ma:internalName="TaxKeywordTaxHTField" ma:taxonomyFieldName="TaxKeyword" ma:displayName="Unternehmensstichwörter" ma:fieldId="{23f27201-bee3-471e-b2e7-b64fd8b7ca38}" ma:taxonomyMulti="true" ma:sspId="4deea718-1ae9-4063-b614-b0a3da49e2d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ea085369-a9ac-41fe-b1ba-5d5b09c321b0}" ma:internalName="TaxCatchAll" ma:showField="CatchAllData" ma:web="4d5e9ab7-90b5-491e-9da4-d989b0c11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24841b-6506-4933-88d3-5170f6c0e270" elementFormDefault="qualified">
    <xsd:import namespace="http://schemas.microsoft.com/office/2006/documentManagement/types"/>
    <xsd:import namespace="http://schemas.microsoft.com/office/infopath/2007/PartnerControls"/>
    <xsd:element name="Unterkategorie" ma:index="11" nillable="true" ma:displayName="Kategorie" ma:list="{cc593085-6987-4795-9ae4-ccda523d2212}" ma:internalName="Unterkategorie" ma:showField="Title" ma:web="5605e645-ee48-4cc1-8ed1-8a067a49bb1c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_x00fc_ltigkeit" ma:index="15" ma:displayName="Gültigkeit" ma:format="DateTime" ma:internalName="G_x00fc_ltigkeit">
      <xsd:simpleType>
        <xsd:restriction base="dms:DateTime"/>
      </xsd:simpleType>
    </xsd:element>
    <xsd:element name="Verantwortlich" ma:index="16" ma:displayName="Verantwortlich" ma:list="UserInfo" ma:SharePointGroup="0" ma:internalName="Verantwortlich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eipfad" ma:index="17" nillable="true" ma:displayName="Dateipfad" ma:hidden="true" ma:internalName="Dateipfad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552DE25-2B1F-45AF-87D2-15C850287C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4902A4-03CE-40F3-BC12-155872291812}"/>
</file>

<file path=customXml/itemProps3.xml><?xml version="1.0" encoding="utf-8"?>
<ds:datastoreItem xmlns:ds="http://schemas.openxmlformats.org/officeDocument/2006/customXml" ds:itemID="{BDF25B6E-7F53-4AA8-BD69-0BB6F3E7DC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d5e9ab7-90b5-491e-9da4-d989b0c1177b"/>
    <ds:schemaRef ds:uri="6824841b-6506-4933-88d3-5170f6c0e2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E6DA6FE-48AC-4C4D-B601-7D854194F5AA}">
  <ds:schemaRefs>
    <ds:schemaRef ds:uri="http://schemas.openxmlformats.org/package/2006/metadata/core-properties"/>
    <ds:schemaRef ds:uri="http://purl.org/dc/dcmitype/"/>
    <ds:schemaRef ds:uri="4d5e9ab7-90b5-491e-9da4-d989b0c1177b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6824841b-6506-4933-88d3-5170f6c0e270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43</vt:i4>
      </vt:variant>
    </vt:vector>
  </HeadingPairs>
  <TitlesOfParts>
    <vt:vector size="50" baseType="lpstr">
      <vt:lpstr>Zusammenfassung</vt:lpstr>
      <vt:lpstr>Material</vt:lpstr>
      <vt:lpstr>Fertigungskosten</vt:lpstr>
      <vt:lpstr>SBM-SEKOF-FWZ</vt:lpstr>
      <vt:lpstr>Rohstoffrisiken</vt:lpstr>
      <vt:lpstr>Protokoll</vt:lpstr>
      <vt:lpstr>Dokumentenlenkung</vt:lpstr>
      <vt:lpstr>Abwicklungsmodelle</vt:lpstr>
      <vt:lpstr>bottomMaterials</vt:lpstr>
      <vt:lpstr>bottomProcesses</vt:lpstr>
      <vt:lpstr>bottomTools</vt:lpstr>
      <vt:lpstr>Fertigungskosten!Druckbereich</vt:lpstr>
      <vt:lpstr>Material!Druckbereich</vt:lpstr>
      <vt:lpstr>Prämissenblatt!Druckbereich</vt:lpstr>
      <vt:lpstr>Protokoll!Druckbereich</vt:lpstr>
      <vt:lpstr>Rohstoffrisiken!Druckbereich</vt:lpstr>
      <vt:lpstr>'SBM-SEKOF-FWZ'!Druckbereich</vt:lpstr>
      <vt:lpstr>Zusammenfassung!Druckbereich</vt:lpstr>
      <vt:lpstr>Ergänzungsschlüssel</vt:lpstr>
      <vt:lpstr>Folgewerkzeug</vt:lpstr>
      <vt:lpstr>Kaufteil</vt:lpstr>
      <vt:lpstr>list_Rohstoffschlüssel</vt:lpstr>
      <vt:lpstr>listAngebotsWährungen</vt:lpstr>
      <vt:lpstr>listFlächeneinheit</vt:lpstr>
      <vt:lpstr>listLändernamen</vt:lpstr>
      <vt:lpstr>listMengeneinheiten</vt:lpstr>
      <vt:lpstr>listRohstoffschlüssel_Neu</vt:lpstr>
      <vt:lpstr>listVerrechnungsformen</vt:lpstr>
      <vt:lpstr>listVorhanden</vt:lpstr>
      <vt:lpstr>listZulässigeAngebotswährungen</vt:lpstr>
      <vt:lpstr>listZulässigeBeschaffungswährungen</vt:lpstr>
      <vt:lpstr>Prämie</vt:lpstr>
      <vt:lpstr>QAF_MAPPING_GEWINN_1</vt:lpstr>
      <vt:lpstr>QAF_MAPPING_GEWINN_2</vt:lpstr>
      <vt:lpstr>QAF_MAPPING_GEWINN_3</vt:lpstr>
      <vt:lpstr>QAF_MAPPING_SBM_1</vt:lpstr>
      <vt:lpstr>QAF_MAPPING_SBM_2</vt:lpstr>
      <vt:lpstr>QAF_MAPPING_SBM_3</vt:lpstr>
      <vt:lpstr>Risiko</vt:lpstr>
      <vt:lpstr>Rohstoff_Risiko</vt:lpstr>
      <vt:lpstr>Rohstoffe_Materialblatt</vt:lpstr>
      <vt:lpstr>SBM</vt:lpstr>
      <vt:lpstr>SBM_2</vt:lpstr>
      <vt:lpstr>SBMFeld</vt:lpstr>
      <vt:lpstr>SEKOF</vt:lpstr>
      <vt:lpstr>SEKOF_2</vt:lpstr>
      <vt:lpstr>SEKOFFeld</vt:lpstr>
      <vt:lpstr>Stück_Risiko</vt:lpstr>
      <vt:lpstr>Werkzeuginstandhaltung</vt:lpstr>
      <vt:lpstr>WerkzeugwartungFeld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Quotation Analysis Form - de</dc:title>
  <dc:creator>Markus Zwicknagl</dc:creator>
  <cp:keywords/>
  <cp:lastModifiedBy>Wiesnet Hubert</cp:lastModifiedBy>
  <cp:lastPrinted>2017-04-24T13:01:43Z</cp:lastPrinted>
  <dcterms:created xsi:type="dcterms:W3CDTF">2010-02-22T08:40:31Z</dcterms:created>
  <dcterms:modified xsi:type="dcterms:W3CDTF">2023-09-20T13:55:27Z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0x010100DDF0B0E28BDA094E9B93D2617D3764CE</vt:lpwstr>
  </property>
  <property fmtid="{D5CDD505-2E9C-101B-9397-08002B2CF9AE}" pid="3" name="_dlc_DocIdItemGuid">
    <vt:lpwstr>e40ca75f-2d5a-4567-9e11-ecbf70562245</vt:lpwstr>
  </property>
  <property fmtid="{D5CDD505-2E9C-101B-9397-08002B2CF9AE}" pid="4" name="TaxKeyword">
    <vt:lpwstr/>
  </property>
</Properties>
</file>